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chartsheets/sheet4.xml" ContentType="application/vnd.openxmlformats-officedocument.spreadsheetml.chart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chartsheets/sheet5.xml" ContentType="application/vnd.openxmlformats-officedocument.spreadsheetml.chart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7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2.2\chrisjones\Documents\solar\phase 2\presentation\source\"/>
    </mc:Choice>
  </mc:AlternateContent>
  <xr:revisionPtr revIDLastSave="0" documentId="13_ncr:1_{B6B6031C-E2E8-4987-ACB6-A6E9E1ABFB16}" xr6:coauthVersionLast="47" xr6:coauthVersionMax="47" xr10:uidLastSave="{00000000-0000-0000-0000-000000000000}"/>
  <bookViews>
    <workbookView xWindow="-120" yWindow="-120" windowWidth="38640" windowHeight="23640" tabRatio="772" firstSheet="1" activeTab="6" xr2:uid="{00000000-000D-0000-FFFF-FFFF00000000}"/>
  </bookViews>
  <sheets>
    <sheet name="old electric use chart" sheetId="4" r:id="rId1"/>
    <sheet name="gas usage chart" sheetId="2" r:id="rId2"/>
    <sheet name="cost per therm chart" sheetId="6" r:id="rId3"/>
    <sheet name="electric data" sheetId="3" r:id="rId4"/>
    <sheet name="gas data" sheetId="1" r:id="rId5"/>
    <sheet name="new electric use chart" sheetId="9" r:id="rId6"/>
    <sheet name="scenario chart" sheetId="13" r:id="rId7"/>
    <sheet name="scenario data" sheetId="7" r:id="rId8"/>
    <sheet name="sizing chart" sheetId="12" r:id="rId9"/>
    <sheet name="sizing data" sheetId="11" r:id="rId10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C7" i="7" l="1"/>
  <c r="BC8" i="7" s="1"/>
  <c r="BC9" i="7" s="1"/>
  <c r="BC10" i="7" s="1"/>
  <c r="BC11" i="7" s="1"/>
  <c r="BC12" i="7" s="1"/>
  <c r="BC13" i="7" s="1"/>
  <c r="BC14" i="7" s="1"/>
  <c r="BC15" i="7" s="1"/>
  <c r="BC16" i="7" s="1"/>
  <c r="BC17" i="7" s="1"/>
  <c r="BC18" i="7" s="1"/>
  <c r="AP8" i="7"/>
  <c r="AO8" i="7"/>
  <c r="AO9" i="7" s="1"/>
  <c r="AO10" i="7" s="1"/>
  <c r="AO11" i="7" s="1"/>
  <c r="AO12" i="7" s="1"/>
  <c r="AO13" i="7" s="1"/>
  <c r="AO14" i="7" s="1"/>
  <c r="AO15" i="7" s="1"/>
  <c r="AO16" i="7" s="1"/>
  <c r="AO17" i="7" s="1"/>
  <c r="AO18" i="7" s="1"/>
  <c r="AN8" i="7"/>
  <c r="AN9" i="7" s="1"/>
  <c r="AP7" i="7"/>
  <c r="AQ7" i="7"/>
  <c r="AQ8" i="7" s="1"/>
  <c r="AQ9" i="7" s="1"/>
  <c r="AQ10" i="7" s="1"/>
  <c r="AQ11" i="7" s="1"/>
  <c r="AQ12" i="7" s="1"/>
  <c r="AQ13" i="7" s="1"/>
  <c r="AQ14" i="7" s="1"/>
  <c r="AQ15" i="7" s="1"/>
  <c r="AQ16" i="7" s="1"/>
  <c r="AQ17" i="7" s="1"/>
  <c r="AQ18" i="7" s="1"/>
  <c r="BD7" i="7"/>
  <c r="AU7" i="7"/>
  <c r="AU8" i="7" s="1"/>
  <c r="CP7" i="7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E61" i="11"/>
  <c r="E60" i="11"/>
  <c r="E59" i="11"/>
  <c r="E58" i="11"/>
  <c r="E57" i="11"/>
  <c r="E56" i="11"/>
  <c r="E55" i="11"/>
  <c r="E54" i="11"/>
  <c r="E53" i="11"/>
  <c r="E52" i="11"/>
  <c r="E51" i="11"/>
  <c r="E50" i="11"/>
  <c r="E49" i="11"/>
  <c r="E48" i="11"/>
  <c r="E47" i="11"/>
  <c r="E46" i="11"/>
  <c r="E45" i="11"/>
  <c r="E44" i="11"/>
  <c r="E43" i="11"/>
  <c r="E42" i="11"/>
  <c r="E41" i="11"/>
  <c r="E40" i="11"/>
  <c r="E39" i="11"/>
  <c r="E38" i="11"/>
  <c r="E37" i="11"/>
  <c r="E36" i="11"/>
  <c r="E35" i="11"/>
  <c r="E34" i="11"/>
  <c r="E33" i="11"/>
  <c r="E32" i="11"/>
  <c r="E31" i="11"/>
  <c r="E30" i="11"/>
  <c r="E29" i="11"/>
  <c r="E28" i="11"/>
  <c r="E27" i="11"/>
  <c r="E26" i="11"/>
  <c r="E25" i="11"/>
  <c r="E24" i="11"/>
  <c r="E23" i="11"/>
  <c r="E22" i="11"/>
  <c r="E21" i="11"/>
  <c r="E20" i="11"/>
  <c r="E19" i="11"/>
  <c r="E18" i="11"/>
  <c r="E17" i="11"/>
  <c r="E16" i="11"/>
  <c r="E15" i="11"/>
  <c r="E14" i="11"/>
  <c r="E13" i="11"/>
  <c r="E12" i="11"/>
  <c r="E11" i="11"/>
  <c r="E10" i="11"/>
  <c r="E9" i="11"/>
  <c r="E8" i="11"/>
  <c r="E7" i="11"/>
  <c r="E6" i="11"/>
  <c r="E5" i="11"/>
  <c r="E4" i="11"/>
  <c r="I61" i="11"/>
  <c r="I60" i="11"/>
  <c r="I59" i="11"/>
  <c r="I58" i="11"/>
  <c r="I57" i="11"/>
  <c r="I56" i="11"/>
  <c r="I55" i="11"/>
  <c r="I54" i="11"/>
  <c r="I53" i="11"/>
  <c r="I52" i="11"/>
  <c r="I51" i="11"/>
  <c r="I50" i="11"/>
  <c r="I49" i="11"/>
  <c r="I48" i="11"/>
  <c r="I47" i="11"/>
  <c r="I46" i="11"/>
  <c r="I45" i="11"/>
  <c r="I44" i="11"/>
  <c r="I43" i="11"/>
  <c r="I42" i="11"/>
  <c r="I41" i="11"/>
  <c r="I40" i="11"/>
  <c r="I39" i="11"/>
  <c r="I38" i="11"/>
  <c r="I37" i="11"/>
  <c r="I36" i="11"/>
  <c r="I35" i="11"/>
  <c r="I34" i="11"/>
  <c r="I33" i="11"/>
  <c r="I32" i="11"/>
  <c r="I31" i="11"/>
  <c r="I30" i="11"/>
  <c r="I29" i="11"/>
  <c r="I28" i="11"/>
  <c r="I27" i="11"/>
  <c r="I26" i="11"/>
  <c r="I25" i="11"/>
  <c r="I24" i="11"/>
  <c r="I23" i="11"/>
  <c r="I22" i="11"/>
  <c r="I21" i="11"/>
  <c r="I20" i="11"/>
  <c r="I19" i="11"/>
  <c r="I18" i="11"/>
  <c r="I17" i="11"/>
  <c r="I16" i="11"/>
  <c r="I15" i="11"/>
  <c r="I14" i="11"/>
  <c r="I13" i="11"/>
  <c r="I12" i="11"/>
  <c r="I11" i="11"/>
  <c r="I10" i="11"/>
  <c r="I9" i="11"/>
  <c r="I8" i="11"/>
  <c r="I7" i="11"/>
  <c r="I6" i="11"/>
  <c r="I5" i="11"/>
  <c r="I4" i="11"/>
  <c r="R8" i="7"/>
  <c r="R9" i="7" s="1"/>
  <c r="Q8" i="7"/>
  <c r="AM7" i="7"/>
  <c r="AB20" i="7"/>
  <c r="AC20" i="7" s="1"/>
  <c r="CS7" i="7"/>
  <c r="AY18" i="7"/>
  <c r="AY17" i="7"/>
  <c r="AY16" i="7"/>
  <c r="AY15" i="7"/>
  <c r="AY14" i="7"/>
  <c r="AY13" i="7"/>
  <c r="AY12" i="7"/>
  <c r="AY11" i="7"/>
  <c r="AY10" i="7"/>
  <c r="AY9" i="7"/>
  <c r="AY8" i="7"/>
  <c r="AY7" i="7"/>
  <c r="AH18" i="7"/>
  <c r="AH17" i="7"/>
  <c r="AH16" i="7"/>
  <c r="AH15" i="7"/>
  <c r="AH14" i="7"/>
  <c r="AH13" i="7"/>
  <c r="AH12" i="7"/>
  <c r="AH11" i="7"/>
  <c r="AH10" i="7"/>
  <c r="AH9" i="7"/>
  <c r="AH8" i="7"/>
  <c r="AH7" i="7"/>
  <c r="O18" i="7"/>
  <c r="L18" i="7"/>
  <c r="N18" i="7" s="1"/>
  <c r="P18" i="7" s="1"/>
  <c r="O17" i="7"/>
  <c r="L17" i="7"/>
  <c r="N17" i="7" s="1"/>
  <c r="P17" i="7" s="1"/>
  <c r="O16" i="7"/>
  <c r="L16" i="7"/>
  <c r="N16" i="7" s="1"/>
  <c r="P16" i="7" s="1"/>
  <c r="O15" i="7"/>
  <c r="L15" i="7"/>
  <c r="N15" i="7" s="1"/>
  <c r="P15" i="7" s="1"/>
  <c r="O14" i="7"/>
  <c r="L14" i="7"/>
  <c r="N14" i="7" s="1"/>
  <c r="P14" i="7" s="1"/>
  <c r="O13" i="7"/>
  <c r="L13" i="7"/>
  <c r="N13" i="7" s="1"/>
  <c r="P13" i="7" s="1"/>
  <c r="O12" i="7"/>
  <c r="L12" i="7"/>
  <c r="N12" i="7" s="1"/>
  <c r="P12" i="7" s="1"/>
  <c r="O11" i="7"/>
  <c r="L11" i="7"/>
  <c r="N11" i="7" s="1"/>
  <c r="P11" i="7" s="1"/>
  <c r="O10" i="7"/>
  <c r="L10" i="7"/>
  <c r="N10" i="7" s="1"/>
  <c r="P10" i="7" s="1"/>
  <c r="O9" i="7"/>
  <c r="L9" i="7"/>
  <c r="N9" i="7" s="1"/>
  <c r="P9" i="7" s="1"/>
  <c r="AK8" i="7"/>
  <c r="AK9" i="7" s="1"/>
  <c r="AK10" i="7" s="1"/>
  <c r="AK11" i="7" s="1"/>
  <c r="AK12" i="7" s="1"/>
  <c r="AK13" i="7" s="1"/>
  <c r="AK14" i="7" s="1"/>
  <c r="AK15" i="7" s="1"/>
  <c r="AK16" i="7" s="1"/>
  <c r="AK17" i="7" s="1"/>
  <c r="AK18" i="7" s="1"/>
  <c r="BT8" i="7"/>
  <c r="BT9" i="7" s="1"/>
  <c r="BT10" i="7" s="1"/>
  <c r="BT11" i="7" s="1"/>
  <c r="BT12" i="7" s="1"/>
  <c r="BT13" i="7" s="1"/>
  <c r="BT14" i="7" s="1"/>
  <c r="BT15" i="7" s="1"/>
  <c r="BT16" i="7" s="1"/>
  <c r="BT17" i="7" s="1"/>
  <c r="BT18" i="7" s="1"/>
  <c r="AJ8" i="7"/>
  <c r="AJ9" i="7" s="1"/>
  <c r="AJ10" i="7" s="1"/>
  <c r="AJ11" i="7" s="1"/>
  <c r="AJ12" i="7" s="1"/>
  <c r="AJ13" i="7" s="1"/>
  <c r="AJ14" i="7" s="1"/>
  <c r="AJ15" i="7" s="1"/>
  <c r="AJ16" i="7" s="1"/>
  <c r="AJ17" i="7" s="1"/>
  <c r="AJ18" i="7" s="1"/>
  <c r="AR8" i="7"/>
  <c r="AR9" i="7" s="1"/>
  <c r="AR10" i="7" s="1"/>
  <c r="AR11" i="7" s="1"/>
  <c r="BP8" i="7"/>
  <c r="BP9" i="7" s="1"/>
  <c r="BP10" i="7" s="1"/>
  <c r="BP11" i="7" s="1"/>
  <c r="BP12" i="7" s="1"/>
  <c r="BP13" i="7" s="1"/>
  <c r="BP14" i="7" s="1"/>
  <c r="BP15" i="7" s="1"/>
  <c r="BP16" i="7" s="1"/>
  <c r="BP17" i="7" s="1"/>
  <c r="BP18" i="7" s="1"/>
  <c r="BO8" i="7"/>
  <c r="BO9" i="7" s="1"/>
  <c r="BO10" i="7" s="1"/>
  <c r="BO11" i="7" s="1"/>
  <c r="BO12" i="7" s="1"/>
  <c r="BO13" i="7" s="1"/>
  <c r="BO14" i="7" s="1"/>
  <c r="BO15" i="7" s="1"/>
  <c r="BO16" i="7" s="1"/>
  <c r="BO17" i="7" s="1"/>
  <c r="BO18" i="7" s="1"/>
  <c r="Y8" i="7"/>
  <c r="W8" i="7"/>
  <c r="W9" i="7" s="1"/>
  <c r="S8" i="7"/>
  <c r="O8" i="7"/>
  <c r="L8" i="7"/>
  <c r="N8" i="7" s="1"/>
  <c r="P8" i="7" s="1"/>
  <c r="CH7" i="7"/>
  <c r="AS7" i="7"/>
  <c r="O7" i="7"/>
  <c r="T7" i="7" s="1"/>
  <c r="L7" i="7"/>
  <c r="N7" i="7" s="1"/>
  <c r="P7" i="7" s="1"/>
  <c r="U7" i="7" s="1"/>
  <c r="D6" i="7"/>
  <c r="E6" i="7" s="1"/>
  <c r="F6" i="7" s="1"/>
  <c r="G6" i="7" s="1"/>
  <c r="H6" i="7" s="1"/>
  <c r="I6" i="7" s="1"/>
  <c r="J6" i="7" s="1"/>
  <c r="K6" i="7" s="1"/>
  <c r="H7" i="3"/>
  <c r="I7" i="3"/>
  <c r="K7" i="3"/>
  <c r="H8" i="3"/>
  <c r="I8" i="3"/>
  <c r="K8" i="3"/>
  <c r="H9" i="3"/>
  <c r="I9" i="3"/>
  <c r="K9" i="3"/>
  <c r="H10" i="3"/>
  <c r="I10" i="3"/>
  <c r="K10" i="3"/>
  <c r="H11" i="3"/>
  <c r="I11" i="3"/>
  <c r="K11" i="3"/>
  <c r="H12" i="3"/>
  <c r="I12" i="3"/>
  <c r="K12" i="3"/>
  <c r="H13" i="3"/>
  <c r="I13" i="3"/>
  <c r="K13" i="3"/>
  <c r="H14" i="3"/>
  <c r="I14" i="3"/>
  <c r="K14" i="3"/>
  <c r="H15" i="3"/>
  <c r="I15" i="3"/>
  <c r="K15" i="3"/>
  <c r="H16" i="3"/>
  <c r="I16" i="3"/>
  <c r="K16" i="3"/>
  <c r="H17" i="3"/>
  <c r="I17" i="3"/>
  <c r="K17" i="3"/>
  <c r="H18" i="3"/>
  <c r="I18" i="3"/>
  <c r="K18" i="3"/>
  <c r="H19" i="3"/>
  <c r="I19" i="3"/>
  <c r="K19" i="3"/>
  <c r="H20" i="3"/>
  <c r="I20" i="3"/>
  <c r="K20" i="3"/>
  <c r="H21" i="3"/>
  <c r="I21" i="3"/>
  <c r="K21" i="3"/>
  <c r="H22" i="3"/>
  <c r="I22" i="3"/>
  <c r="K22" i="3"/>
  <c r="H23" i="3"/>
  <c r="I23" i="3"/>
  <c r="K23" i="3"/>
  <c r="H24" i="3"/>
  <c r="I24" i="3"/>
  <c r="K24" i="3"/>
  <c r="H25" i="3"/>
  <c r="I25" i="3"/>
  <c r="K25" i="3"/>
  <c r="H26" i="3"/>
  <c r="I26" i="3"/>
  <c r="K26" i="3"/>
  <c r="H27" i="3"/>
  <c r="I27" i="3"/>
  <c r="K27" i="3"/>
  <c r="H28" i="3"/>
  <c r="I28" i="3"/>
  <c r="K28" i="3"/>
  <c r="H29" i="3"/>
  <c r="I29" i="3"/>
  <c r="K29" i="3"/>
  <c r="H30" i="3"/>
  <c r="I30" i="3"/>
  <c r="K30" i="3"/>
  <c r="H31" i="3"/>
  <c r="I31" i="3"/>
  <c r="J31" i="3" s="1"/>
  <c r="K31" i="3"/>
  <c r="H32" i="3"/>
  <c r="I32" i="3"/>
  <c r="J32" i="3" s="1"/>
  <c r="K32" i="3"/>
  <c r="Q32" i="3"/>
  <c r="H33" i="3"/>
  <c r="I33" i="3"/>
  <c r="J33" i="3" s="1"/>
  <c r="K33" i="3"/>
  <c r="Q33" i="3"/>
  <c r="H34" i="3"/>
  <c r="I34" i="3"/>
  <c r="J34" i="3"/>
  <c r="K34" i="3"/>
  <c r="Q34" i="3"/>
  <c r="H35" i="3"/>
  <c r="I35" i="3"/>
  <c r="J35" i="3"/>
  <c r="K35" i="3"/>
  <c r="Q35" i="3"/>
  <c r="H36" i="3"/>
  <c r="I36" i="3"/>
  <c r="J36" i="3" s="1"/>
  <c r="K36" i="3"/>
  <c r="Q36" i="3"/>
  <c r="H37" i="3"/>
  <c r="I37" i="3"/>
  <c r="J37" i="3" s="1"/>
  <c r="K37" i="3"/>
  <c r="Q37" i="3"/>
  <c r="H38" i="3"/>
  <c r="I38" i="3"/>
  <c r="J38" i="3"/>
  <c r="K38" i="3"/>
  <c r="Q38" i="3"/>
  <c r="H39" i="3"/>
  <c r="I39" i="3"/>
  <c r="J39" i="3" s="1"/>
  <c r="K39" i="3"/>
  <c r="Q39" i="3"/>
  <c r="H40" i="3"/>
  <c r="I40" i="3"/>
  <c r="J40" i="3" s="1"/>
  <c r="K40" i="3"/>
  <c r="Q40" i="3"/>
  <c r="H41" i="3"/>
  <c r="I41" i="3"/>
  <c r="J41" i="3" s="1"/>
  <c r="K41" i="3"/>
  <c r="Q41" i="3"/>
  <c r="H42" i="3"/>
  <c r="I42" i="3"/>
  <c r="J42" i="3" s="1"/>
  <c r="K42" i="3"/>
  <c r="Q42" i="3"/>
  <c r="H43" i="3"/>
  <c r="I43" i="3"/>
  <c r="J43" i="3" s="1"/>
  <c r="K43" i="3"/>
  <c r="Q43" i="3"/>
  <c r="H44" i="3"/>
  <c r="I44" i="3"/>
  <c r="J44" i="3" s="1"/>
  <c r="K44" i="3"/>
  <c r="H45" i="3"/>
  <c r="I45" i="3"/>
  <c r="J45" i="3" s="1"/>
  <c r="K45" i="3"/>
  <c r="H46" i="3"/>
  <c r="I46" i="3"/>
  <c r="J46" i="3" s="1"/>
  <c r="K46" i="3"/>
  <c r="H47" i="3"/>
  <c r="I47" i="3"/>
  <c r="J47" i="3" s="1"/>
  <c r="K47" i="3"/>
  <c r="H48" i="3"/>
  <c r="I48" i="3"/>
  <c r="J48" i="3" s="1"/>
  <c r="K48" i="3"/>
  <c r="H49" i="3"/>
  <c r="I49" i="3"/>
  <c r="J49" i="3" s="1"/>
  <c r="K49" i="3"/>
  <c r="H50" i="3"/>
  <c r="I50" i="3"/>
  <c r="J50" i="3" s="1"/>
  <c r="K50" i="3"/>
  <c r="H51" i="3"/>
  <c r="I51" i="3"/>
  <c r="J51" i="3" s="1"/>
  <c r="K51" i="3"/>
  <c r="H52" i="3"/>
  <c r="I52" i="3"/>
  <c r="J52" i="3" s="1"/>
  <c r="K52" i="3"/>
  <c r="H53" i="3"/>
  <c r="I53" i="3"/>
  <c r="J53" i="3" s="1"/>
  <c r="K53" i="3"/>
  <c r="H54" i="3"/>
  <c r="I54" i="3"/>
  <c r="J54" i="3" s="1"/>
  <c r="K54" i="3"/>
  <c r="H55" i="3"/>
  <c r="I55" i="3"/>
  <c r="J55" i="3" s="1"/>
  <c r="K55" i="3"/>
  <c r="H56" i="3"/>
  <c r="I56" i="3"/>
  <c r="J56" i="3" s="1"/>
  <c r="K56" i="3"/>
  <c r="H57" i="3"/>
  <c r="I57" i="3"/>
  <c r="J57" i="3" s="1"/>
  <c r="K57" i="3"/>
  <c r="H58" i="3"/>
  <c r="I58" i="3"/>
  <c r="J58" i="3" s="1"/>
  <c r="K58" i="3"/>
  <c r="H59" i="3"/>
  <c r="I59" i="3"/>
  <c r="J59" i="3" s="1"/>
  <c r="K59" i="3"/>
  <c r="H60" i="3"/>
  <c r="I60" i="3"/>
  <c r="J60" i="3" s="1"/>
  <c r="K60" i="3"/>
  <c r="H61" i="3"/>
  <c r="I61" i="3"/>
  <c r="J61" i="3" s="1"/>
  <c r="K61" i="3"/>
  <c r="H62" i="3"/>
  <c r="I62" i="3"/>
  <c r="J62" i="3" s="1"/>
  <c r="K62" i="3"/>
  <c r="H63" i="3"/>
  <c r="I63" i="3"/>
  <c r="J63" i="3" s="1"/>
  <c r="K63" i="3"/>
  <c r="H64" i="3"/>
  <c r="I64" i="3"/>
  <c r="J64" i="3" s="1"/>
  <c r="K64" i="3"/>
  <c r="H65" i="3"/>
  <c r="I65" i="3"/>
  <c r="K65" i="3"/>
  <c r="H66" i="3"/>
  <c r="I66" i="3"/>
  <c r="K66" i="3"/>
  <c r="H67" i="3"/>
  <c r="I67" i="3"/>
  <c r="K67" i="3"/>
  <c r="H68" i="3"/>
  <c r="I68" i="3"/>
  <c r="K68" i="3"/>
  <c r="H69" i="3"/>
  <c r="I69" i="3"/>
  <c r="K69" i="3"/>
  <c r="H70" i="3"/>
  <c r="I70" i="3"/>
  <c r="K70" i="3"/>
  <c r="H71" i="3"/>
  <c r="I71" i="3"/>
  <c r="K71" i="3"/>
  <c r="H72" i="3"/>
  <c r="I72" i="3"/>
  <c r="K72" i="3"/>
  <c r="H73" i="3"/>
  <c r="I73" i="3"/>
  <c r="K73" i="3"/>
  <c r="H74" i="3"/>
  <c r="I74" i="3"/>
  <c r="J74" i="3"/>
  <c r="K74" i="3"/>
  <c r="H75" i="3"/>
  <c r="I75" i="3"/>
  <c r="J75" i="3" s="1"/>
  <c r="K75" i="3"/>
  <c r="H76" i="3"/>
  <c r="I76" i="3"/>
  <c r="J76" i="3" s="1"/>
  <c r="K76" i="3"/>
  <c r="H77" i="3"/>
  <c r="I77" i="3"/>
  <c r="J77" i="3"/>
  <c r="K77" i="3"/>
  <c r="H78" i="3"/>
  <c r="I78" i="3"/>
  <c r="J78" i="3" s="1"/>
  <c r="K78" i="3"/>
  <c r="D80" i="3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D129" i="1"/>
  <c r="D130" i="1" s="1"/>
  <c r="BE7" i="7" l="1"/>
  <c r="AN10" i="7"/>
  <c r="AP9" i="7"/>
  <c r="CI7" i="7"/>
  <c r="CR7" i="7" s="1"/>
  <c r="CG7" i="7"/>
  <c r="CQ7" i="7" s="1"/>
  <c r="BD8" i="7"/>
  <c r="BD9" i="7" s="1"/>
  <c r="BD10" i="7" s="1"/>
  <c r="BD11" i="7" s="1"/>
  <c r="BD12" i="7" s="1"/>
  <c r="BD13" i="7" s="1"/>
  <c r="BD14" i="7" s="1"/>
  <c r="BD15" i="7" s="1"/>
  <c r="BD16" i="7" s="1"/>
  <c r="BD17" i="7" s="1"/>
  <c r="BD18" i="7" s="1"/>
  <c r="U8" i="7"/>
  <c r="AF8" i="7" s="1"/>
  <c r="T8" i="7"/>
  <c r="AG8" i="7" s="1"/>
  <c r="R10" i="7"/>
  <c r="Q9" i="7"/>
  <c r="Q10" i="7" s="1"/>
  <c r="AF7" i="7"/>
  <c r="AG7" i="7"/>
  <c r="Z8" i="7"/>
  <c r="Z7" i="7"/>
  <c r="Y9" i="7"/>
  <c r="Y10" i="7" s="1"/>
  <c r="AR12" i="7"/>
  <c r="V7" i="7"/>
  <c r="W10" i="7"/>
  <c r="AS8" i="7"/>
  <c r="S9" i="7"/>
  <c r="U9" i="7" s="1"/>
  <c r="AU9" i="7"/>
  <c r="AT7" i="7"/>
  <c r="AV7" i="7" s="1"/>
  <c r="I80" i="3"/>
  <c r="J80" i="3"/>
  <c r="BF7" i="7" l="1"/>
  <c r="BH7" i="7" s="1"/>
  <c r="BI7" i="7" s="1"/>
  <c r="BJ7" i="7" s="1"/>
  <c r="BQ7" i="7"/>
  <c r="U20" i="13" s="1"/>
  <c r="AN11" i="7"/>
  <c r="AP10" i="7"/>
  <c r="CK7" i="7"/>
  <c r="U24" i="13" s="1"/>
  <c r="CT7" i="7"/>
  <c r="BE8" i="7"/>
  <c r="U19" i="13"/>
  <c r="T9" i="7"/>
  <c r="AG9" i="7" s="1"/>
  <c r="R11" i="7"/>
  <c r="Q11" i="7"/>
  <c r="Y11" i="7"/>
  <c r="Z10" i="7"/>
  <c r="Z9" i="7"/>
  <c r="S10" i="7"/>
  <c r="U10" i="7" s="1"/>
  <c r="X7" i="7"/>
  <c r="AE7" i="7"/>
  <c r="AI7" i="7" s="1"/>
  <c r="AS9" i="7"/>
  <c r="AT8" i="7"/>
  <c r="AV8" i="7" s="1"/>
  <c r="AF9" i="7"/>
  <c r="AU10" i="7"/>
  <c r="AR13" i="7"/>
  <c r="V8" i="7"/>
  <c r="W11" i="7"/>
  <c r="BE9" i="7" l="1"/>
  <c r="BQ8" i="7"/>
  <c r="BL7" i="7"/>
  <c r="BM7" i="7" s="1"/>
  <c r="BN7" i="7" s="1"/>
  <c r="AN12" i="7"/>
  <c r="AP11" i="7"/>
  <c r="AW7" i="7"/>
  <c r="U18" i="13"/>
  <c r="T10" i="7"/>
  <c r="AG10" i="7" s="1"/>
  <c r="R12" i="7"/>
  <c r="Q12" i="7"/>
  <c r="AW8" i="7"/>
  <c r="AZ7" i="7"/>
  <c r="BA7" i="7" s="1"/>
  <c r="Y12" i="7"/>
  <c r="Z11" i="7"/>
  <c r="W12" i="7"/>
  <c r="AU11" i="7"/>
  <c r="AS10" i="7"/>
  <c r="AT9" i="7"/>
  <c r="AV9" i="7" s="1"/>
  <c r="S11" i="7"/>
  <c r="U11" i="7" s="1"/>
  <c r="AF10" i="7"/>
  <c r="AE8" i="7"/>
  <c r="AI8" i="7" s="1"/>
  <c r="X8" i="7"/>
  <c r="AR14" i="7"/>
  <c r="V9" i="7"/>
  <c r="BE10" i="7" l="1"/>
  <c r="BQ9" i="7"/>
  <c r="AN13" i="7"/>
  <c r="AP12" i="7"/>
  <c r="Q13" i="7"/>
  <c r="T11" i="7"/>
  <c r="AG11" i="7" s="1"/>
  <c r="R13" i="7"/>
  <c r="BR7" i="7"/>
  <c r="BS7" i="7" s="1"/>
  <c r="BU7" i="7" s="1"/>
  <c r="BV7" i="7" s="1"/>
  <c r="BR8" i="7"/>
  <c r="BS8" i="7" s="1"/>
  <c r="BU8" i="7" s="1"/>
  <c r="AZ8" i="7"/>
  <c r="BA8" i="7" s="1"/>
  <c r="AW9" i="7"/>
  <c r="BB7" i="7"/>
  <c r="Y13" i="7"/>
  <c r="Z12" i="7"/>
  <c r="AR15" i="7"/>
  <c r="AE9" i="7"/>
  <c r="AI9" i="7" s="1"/>
  <c r="X9" i="7"/>
  <c r="AS11" i="7"/>
  <c r="AT10" i="7"/>
  <c r="AV10" i="7" s="1"/>
  <c r="V10" i="7"/>
  <c r="AU12" i="7"/>
  <c r="S12" i="7"/>
  <c r="T12" i="7" s="1"/>
  <c r="AF11" i="7"/>
  <c r="W13" i="7"/>
  <c r="BE11" i="7" l="1"/>
  <c r="BQ10" i="7"/>
  <c r="AN14" i="7"/>
  <c r="AP13" i="7"/>
  <c r="U12" i="7"/>
  <c r="AF12" i="7" s="1"/>
  <c r="Q14" i="7"/>
  <c r="R14" i="7"/>
  <c r="BV8" i="7"/>
  <c r="BB8" i="7"/>
  <c r="BW7" i="7"/>
  <c r="BZ7" i="7" s="1"/>
  <c r="AW10" i="7"/>
  <c r="AZ9" i="7"/>
  <c r="BA9" i="7" s="1"/>
  <c r="Y14" i="7"/>
  <c r="Z13" i="7"/>
  <c r="W14" i="7"/>
  <c r="AS12" i="7"/>
  <c r="AT11" i="7"/>
  <c r="AV11" i="7" s="1"/>
  <c r="AR16" i="7"/>
  <c r="AU13" i="7"/>
  <c r="V11" i="7"/>
  <c r="S13" i="7"/>
  <c r="T13" i="7" s="1"/>
  <c r="AG12" i="7"/>
  <c r="AE10" i="7"/>
  <c r="AI10" i="7" s="1"/>
  <c r="X10" i="7"/>
  <c r="BE12" i="7" l="1"/>
  <c r="BQ11" i="7"/>
  <c r="AN15" i="7"/>
  <c r="AP14" i="7"/>
  <c r="CB7" i="7"/>
  <c r="BW8" i="7"/>
  <c r="U13" i="7"/>
  <c r="AF13" i="7" s="1"/>
  <c r="Q15" i="7"/>
  <c r="R15" i="7"/>
  <c r="BX7" i="7"/>
  <c r="BY7" i="7" s="1"/>
  <c r="CA7" i="7"/>
  <c r="BR10" i="7"/>
  <c r="BS10" i="7" s="1"/>
  <c r="BU10" i="7" s="1"/>
  <c r="AZ10" i="7"/>
  <c r="BA10" i="7" s="1"/>
  <c r="AW11" i="7"/>
  <c r="BB9" i="7"/>
  <c r="BR9" i="7"/>
  <c r="BS9" i="7" s="1"/>
  <c r="BU9" i="7" s="1"/>
  <c r="BV9" i="7" s="1"/>
  <c r="Z14" i="7"/>
  <c r="Y15" i="7"/>
  <c r="AE11" i="7"/>
  <c r="AI11" i="7" s="1"/>
  <c r="X11" i="7"/>
  <c r="AS13" i="7"/>
  <c r="AT12" i="7"/>
  <c r="AV12" i="7" s="1"/>
  <c r="V12" i="7"/>
  <c r="AR17" i="7"/>
  <c r="AU14" i="7"/>
  <c r="W15" i="7"/>
  <c r="S14" i="7"/>
  <c r="T14" i="7" s="1"/>
  <c r="AG13" i="7"/>
  <c r="BE13" i="7" l="1"/>
  <c r="BQ12" i="7"/>
  <c r="AN16" i="7"/>
  <c r="AP15" i="7"/>
  <c r="CA8" i="7"/>
  <c r="BZ8" i="7"/>
  <c r="CB8" i="7" s="1"/>
  <c r="CC7" i="7"/>
  <c r="BW9" i="7"/>
  <c r="U14" i="7"/>
  <c r="AF14" i="7" s="1"/>
  <c r="R16" i="7"/>
  <c r="Q16" i="7"/>
  <c r="BX8" i="7"/>
  <c r="BY8" i="7" s="1"/>
  <c r="CC8" i="7" s="1"/>
  <c r="BV10" i="7"/>
  <c r="BB10" i="7"/>
  <c r="AW12" i="7"/>
  <c r="AZ11" i="7"/>
  <c r="BA11" i="7" s="1"/>
  <c r="Y16" i="7"/>
  <c r="Z15" i="7"/>
  <c r="AE12" i="7"/>
  <c r="AI12" i="7" s="1"/>
  <c r="X12" i="7"/>
  <c r="S15" i="7"/>
  <c r="U15" i="7" s="1"/>
  <c r="AG14" i="7"/>
  <c r="W16" i="7"/>
  <c r="V13" i="7"/>
  <c r="AU15" i="7"/>
  <c r="AR18" i="7"/>
  <c r="AS14" i="7"/>
  <c r="AT13" i="7"/>
  <c r="AV13" i="7" s="1"/>
  <c r="BE14" i="7" l="1"/>
  <c r="BQ13" i="7"/>
  <c r="AN17" i="7"/>
  <c r="AP16" i="7"/>
  <c r="BX9" i="7"/>
  <c r="BY9" i="7" s="1"/>
  <c r="CC9" i="7" s="1"/>
  <c r="BZ9" i="7"/>
  <c r="CB9" i="7" s="1"/>
  <c r="BW10" i="7"/>
  <c r="CA9" i="7"/>
  <c r="T15" i="7"/>
  <c r="AG15" i="7" s="1"/>
  <c r="Q17" i="7"/>
  <c r="R17" i="7"/>
  <c r="BR12" i="7"/>
  <c r="BS12" i="7" s="1"/>
  <c r="BU12" i="7" s="1"/>
  <c r="AW13" i="7"/>
  <c r="AZ12" i="7"/>
  <c r="BA12" i="7" s="1"/>
  <c r="BB11" i="7"/>
  <c r="BR11" i="7"/>
  <c r="BS11" i="7" s="1"/>
  <c r="BU11" i="7" s="1"/>
  <c r="BV11" i="7" s="1"/>
  <c r="Z16" i="7"/>
  <c r="Y17" i="7"/>
  <c r="S16" i="7"/>
  <c r="T16" i="7" s="1"/>
  <c r="AF15" i="7"/>
  <c r="V14" i="7"/>
  <c r="AE13" i="7"/>
  <c r="AI13" i="7" s="1"/>
  <c r="X13" i="7"/>
  <c r="W17" i="7"/>
  <c r="AS15" i="7"/>
  <c r="AT14" i="7"/>
  <c r="AV14" i="7" s="1"/>
  <c r="AU16" i="7"/>
  <c r="BE15" i="7" l="1"/>
  <c r="BQ14" i="7"/>
  <c r="AN18" i="7"/>
  <c r="AP18" i="7" s="1"/>
  <c r="AP17" i="7"/>
  <c r="CA10" i="7"/>
  <c r="BZ10" i="7"/>
  <c r="CB10" i="7" s="1"/>
  <c r="BX10" i="7"/>
  <c r="BY10" i="7" s="1"/>
  <c r="CC10" i="7" s="1"/>
  <c r="BW11" i="7"/>
  <c r="BZ11" i="7" s="1"/>
  <c r="U16" i="7"/>
  <c r="AF16" i="7" s="1"/>
  <c r="Q18" i="7"/>
  <c r="R18" i="7"/>
  <c r="BV12" i="7"/>
  <c r="BB12" i="7"/>
  <c r="AZ13" i="7"/>
  <c r="BA13" i="7" s="1"/>
  <c r="AW14" i="7"/>
  <c r="Y18" i="7"/>
  <c r="Z18" i="7" s="1"/>
  <c r="Z17" i="7"/>
  <c r="V15" i="7"/>
  <c r="S17" i="7"/>
  <c r="T17" i="7" s="1"/>
  <c r="AG16" i="7"/>
  <c r="AS16" i="7"/>
  <c r="AT15" i="7"/>
  <c r="AV15" i="7" s="1"/>
  <c r="AU17" i="7"/>
  <c r="AE14" i="7"/>
  <c r="AI14" i="7" s="1"/>
  <c r="X14" i="7"/>
  <c r="W18" i="7"/>
  <c r="BE16" i="7" l="1"/>
  <c r="BQ15" i="7"/>
  <c r="BX11" i="7"/>
  <c r="BY11" i="7" s="1"/>
  <c r="CC11" i="7" s="1"/>
  <c r="CB11" i="7"/>
  <c r="BW12" i="7"/>
  <c r="CA11" i="7"/>
  <c r="U17" i="7"/>
  <c r="AF17" i="7" s="1"/>
  <c r="Z20" i="7"/>
  <c r="AD20" i="7" s="1"/>
  <c r="BR14" i="7"/>
  <c r="BS14" i="7" s="1"/>
  <c r="BU14" i="7" s="1"/>
  <c r="AW15" i="7"/>
  <c r="AZ14" i="7"/>
  <c r="BA14" i="7" s="1"/>
  <c r="BB13" i="7"/>
  <c r="BR13" i="7"/>
  <c r="BS13" i="7" s="1"/>
  <c r="BU13" i="7" s="1"/>
  <c r="BV13" i="7" s="1"/>
  <c r="AE15" i="7"/>
  <c r="AI15" i="7" s="1"/>
  <c r="X15" i="7"/>
  <c r="AU18" i="7"/>
  <c r="V16" i="7"/>
  <c r="S18" i="7"/>
  <c r="U18" i="7" s="1"/>
  <c r="AG17" i="7"/>
  <c r="AS17" i="7"/>
  <c r="AT16" i="7"/>
  <c r="AV16" i="7" s="1"/>
  <c r="BE17" i="7" l="1"/>
  <c r="BQ16" i="7"/>
  <c r="CA12" i="7"/>
  <c r="BZ12" i="7"/>
  <c r="CB12" i="7" s="1"/>
  <c r="BW13" i="7"/>
  <c r="BX12" i="7"/>
  <c r="BY12" i="7" s="1"/>
  <c r="CC12" i="7" s="1"/>
  <c r="T18" i="7"/>
  <c r="AG18" i="7" s="1"/>
  <c r="BV14" i="7"/>
  <c r="AZ15" i="7"/>
  <c r="BA15" i="7" s="1"/>
  <c r="AW16" i="7"/>
  <c r="BB14" i="7"/>
  <c r="AS18" i="7"/>
  <c r="AT17" i="7"/>
  <c r="AV17" i="7" s="1"/>
  <c r="AE16" i="7"/>
  <c r="AI16" i="7" s="1"/>
  <c r="X16" i="7"/>
  <c r="V17" i="7"/>
  <c r="AF18" i="7"/>
  <c r="BE18" i="7" l="1"/>
  <c r="BQ18" i="7" s="1"/>
  <c r="BQ17" i="7"/>
  <c r="CA13" i="7"/>
  <c r="BZ13" i="7"/>
  <c r="BX13" i="7"/>
  <c r="BY13" i="7" s="1"/>
  <c r="CC13" i="7" s="1"/>
  <c r="BW14" i="7"/>
  <c r="BR16" i="7"/>
  <c r="BS16" i="7" s="1"/>
  <c r="BU16" i="7" s="1"/>
  <c r="AW17" i="7"/>
  <c r="AZ16" i="7"/>
  <c r="BA16" i="7" s="1"/>
  <c r="BB15" i="7"/>
  <c r="BR15" i="7"/>
  <c r="BS15" i="7" s="1"/>
  <c r="BU15" i="7" s="1"/>
  <c r="BV15" i="7" s="1"/>
  <c r="V18" i="7"/>
  <c r="AE17" i="7"/>
  <c r="AI17" i="7" s="1"/>
  <c r="X17" i="7"/>
  <c r="AT18" i="7"/>
  <c r="AV18" i="7" s="1"/>
  <c r="BX14" i="7" l="1"/>
  <c r="BY14" i="7" s="1"/>
  <c r="CC14" i="7" s="1"/>
  <c r="BZ14" i="7"/>
  <c r="CB14" i="7" s="1"/>
  <c r="CB13" i="7"/>
  <c r="BW15" i="7"/>
  <c r="CA14" i="7"/>
  <c r="BV16" i="7"/>
  <c r="BR17" i="7"/>
  <c r="BS17" i="7" s="1"/>
  <c r="BU17" i="7" s="1"/>
  <c r="BB16" i="7"/>
  <c r="AW18" i="7"/>
  <c r="AZ17" i="7"/>
  <c r="BA17" i="7" s="1"/>
  <c r="AE18" i="7"/>
  <c r="AI18" i="7" s="1"/>
  <c r="V20" i="7"/>
  <c r="X18" i="7"/>
  <c r="X20" i="7" s="1"/>
  <c r="AA20" i="7" s="1"/>
  <c r="CA15" i="7" l="1"/>
  <c r="BZ15" i="7"/>
  <c r="CB15" i="7" s="1"/>
  <c r="BW16" i="7"/>
  <c r="BX16" i="7" s="1"/>
  <c r="BY16" i="7" s="1"/>
  <c r="CC16" i="7" s="1"/>
  <c r="BX15" i="7"/>
  <c r="BY15" i="7" s="1"/>
  <c r="CC15" i="7" s="1"/>
  <c r="AZ18" i="7"/>
  <c r="BA18" i="7" s="1"/>
  <c r="BB17" i="7"/>
  <c r="BV17" i="7"/>
  <c r="AE20" i="7"/>
  <c r="U17" i="13" s="1"/>
  <c r="CA16" i="7" l="1"/>
  <c r="BZ16" i="7"/>
  <c r="CB16" i="7" s="1"/>
  <c r="BW17" i="7"/>
  <c r="AZ20" i="7"/>
  <c r="AZ21" i="7" s="1"/>
  <c r="BB18" i="7"/>
  <c r="BR18" i="7"/>
  <c r="BS18" i="7" s="1"/>
  <c r="BU18" i="7" s="1"/>
  <c r="BV18" i="7" s="1"/>
  <c r="CA17" i="7" l="1"/>
  <c r="BZ17" i="7"/>
  <c r="CB17" i="7" s="1"/>
  <c r="BW18" i="7"/>
  <c r="BZ18" i="7" s="1"/>
  <c r="BX17" i="7"/>
  <c r="BY17" i="7" s="1"/>
  <c r="CC17" i="7" s="1"/>
  <c r="CB18" i="7" l="1"/>
  <c r="BZ20" i="7"/>
  <c r="CA18" i="7"/>
  <c r="BW20" i="7"/>
  <c r="BX18" i="7"/>
  <c r="BY18" i="7" s="1"/>
  <c r="CC18" i="7" s="1"/>
  <c r="CB20" i="7" l="1"/>
  <c r="BY20" i="7"/>
  <c r="CA20" i="7"/>
  <c r="CA21" i="7" s="1"/>
  <c r="U21" i="13" s="1"/>
  <c r="CC20" i="7" l="1"/>
  <c r="CC21" i="7" s="1"/>
  <c r="CC22" i="7" s="1"/>
  <c r="CB21" i="7"/>
  <c r="CB22" i="7" l="1"/>
  <c r="U22" i="13"/>
  <c r="CU7" i="7"/>
  <c r="CV7" i="7" s="1"/>
  <c r="CW7" i="7" s="1"/>
  <c r="U23" i="13"/>
  <c r="CX7" i="7" l="1"/>
  <c r="U25" i="13"/>
</calcChain>
</file>

<file path=xl/sharedStrings.xml><?xml version="1.0" encoding="utf-8"?>
<sst xmlns="http://schemas.openxmlformats.org/spreadsheetml/2006/main" count="597" uniqueCount="170">
  <si>
    <t>Name</t>
  </si>
  <si>
    <t>SARA JONES</t>
  </si>
  <si>
    <t>Address</t>
  </si>
  <si>
    <t>1654 PAMELA DR, SANTA ROSA CA 95404-3139</t>
  </si>
  <si>
    <t>Account Number</t>
  </si>
  <si>
    <t>Service</t>
  </si>
  <si>
    <t>TYPE</t>
  </si>
  <si>
    <t>START DATE</t>
  </si>
  <si>
    <t>END DATE</t>
  </si>
  <si>
    <t>USAGE</t>
  </si>
  <si>
    <t>UNITS</t>
  </si>
  <si>
    <t>COST</t>
  </si>
  <si>
    <t>NOTES</t>
  </si>
  <si>
    <t>Natural gas billing</t>
  </si>
  <si>
    <t>therms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</si>
  <si>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</si>
  <si>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</si>
  <si>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</si>
  <si>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</si>
  <si>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</si>
  <si>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</si>
  <si>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</si>
  <si>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</si>
  <si>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</si>
  <si>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</si>
  <si>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</si>
  <si>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</si>
  <si>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avg</t>
  </si>
  <si>
    <t>hot water</t>
  </si>
  <si>
    <t>furnace</t>
  </si>
  <si>
    <t>kWh</t>
  </si>
  <si>
    <t>total</t>
  </si>
  <si>
    <t>cost/therm</t>
  </si>
  <si>
    <t>average gas bill</t>
  </si>
  <si>
    <t>daily kWh</t>
  </si>
  <si>
    <t>everything else</t>
  </si>
  <si>
    <t>month</t>
  </si>
  <si>
    <t>GHI, full peak sun hrs per month</t>
  </si>
  <si>
    <t>per day</t>
  </si>
  <si>
    <t>panel derating</t>
  </si>
  <si>
    <t>annual</t>
  </si>
  <si>
    <t>Electric billing</t>
  </si>
  <si>
    <t>$/kWh</t>
  </si>
  <si>
    <t>kWh/day w/ long range EV</t>
  </si>
  <si>
    <t>kWh/day</t>
  </si>
  <si>
    <t>actual panel power</t>
  </si>
  <si>
    <t>panels, each</t>
  </si>
  <si>
    <t>part costs, not including installation</t>
  </si>
  <si>
    <t>subtotal</t>
  </si>
  <si>
    <t>Scenarios</t>
  </si>
  <si>
    <t>kWh equivalent</t>
  </si>
  <si>
    <t>heat pump COP</t>
  </si>
  <si>
    <t>heat pump</t>
  </si>
  <si>
    <t>PG&amp;E</t>
  </si>
  <si>
    <t>TOU non-peak rate</t>
  </si>
  <si>
    <t>heat pump added to electric bill</t>
  </si>
  <si>
    <t>average PG&amp;E  cost per therm</t>
  </si>
  <si>
    <t>bill delta</t>
  </si>
  <si>
    <t>all other electrical loads,  average kWh</t>
  </si>
  <si>
    <t>loads</t>
  </si>
  <si>
    <t xml:space="preserve">kWh load expected </t>
  </si>
  <si>
    <t>therms currently used</t>
  </si>
  <si>
    <t>added heat</t>
  </si>
  <si>
    <t>current electrical</t>
  </si>
  <si>
    <t>new expected total kWh used</t>
  </si>
  <si>
    <t>new electrical</t>
  </si>
  <si>
    <t>system configuration</t>
  </si>
  <si>
    <t>PV interface</t>
  </si>
  <si>
    <t>PV to battery charge controller efficiency</t>
  </si>
  <si>
    <t>battery to AC load inverter efficiency</t>
  </si>
  <si>
    <t>PV nameplate rating, kW</t>
  </si>
  <si>
    <t>number of panels</t>
  </si>
  <si>
    <t>energy generated per month, kWh</t>
  </si>
  <si>
    <t>if no battery</t>
  </si>
  <si>
    <t>batteries</t>
  </si>
  <si>
    <t>EOL battery capacity</t>
  </si>
  <si>
    <t>min discharge SOC at EOL</t>
  </si>
  <si>
    <t>percentage of loads if no battery and net metered</t>
  </si>
  <si>
    <t>energy required to charge batteries, kWh</t>
  </si>
  <si>
    <t>usable capacity at EOL, kWh</t>
  </si>
  <si>
    <t>enough PV to charge batteries?</t>
  </si>
  <si>
    <t>does battery capacity cover loads?</t>
  </si>
  <si>
    <t>net max power, kW</t>
  </si>
  <si>
    <t>size compared to current 1.8 kW system</t>
  </si>
  <si>
    <t>daily PV energy used to charge batteries, kWh</t>
  </si>
  <si>
    <t>round trip charge/ discharge efficiency</t>
  </si>
  <si>
    <t>monthly totals</t>
  </si>
  <si>
    <t>battery discharge, kWh</t>
  </si>
  <si>
    <t>days</t>
  </si>
  <si>
    <t>grid energy needed, kWh</t>
  </si>
  <si>
    <t>batteries each</t>
  </si>
  <si>
    <t>parts only subtotal</t>
  </si>
  <si>
    <t>nameplate capacity, kWh</t>
  </si>
  <si>
    <t>Sol-Ark</t>
  </si>
  <si>
    <t>panels</t>
  </si>
  <si>
    <t>warranties, years</t>
  </si>
  <si>
    <t>worst case replacement cost per year</t>
  </si>
  <si>
    <t>current electricity bills</t>
  </si>
  <si>
    <t>current energy bills</t>
  </si>
  <si>
    <t>cost per day</t>
  </si>
  <si>
    <t>number of Venti Lattes</t>
  </si>
  <si>
    <t>nameplate capacity, Ah</t>
  </si>
  <si>
    <t>continuous discharge power, kW</t>
  </si>
  <si>
    <t>continuous charge power, kW</t>
  </si>
  <si>
    <t>efficiency</t>
  </si>
  <si>
    <t>water heater</t>
  </si>
  <si>
    <t>excess PV energy generated after charging batteries, kWh</t>
  </si>
  <si>
    <t>Assumptions:</t>
  </si>
  <si>
    <t>1. All power is used when no solar is being generated</t>
  </si>
  <si>
    <t>2. batteries are only charged by solar, never the grid</t>
  </si>
  <si>
    <t>excess daily PV energy generated after charging batteries to be net metered, kWh</t>
  </si>
  <si>
    <t>remaining daily load not covered by batteries to be supplied by grid, kWh</t>
  </si>
  <si>
    <t>max daily battery discharge (largest of previous day's load or usable capacity), kWh</t>
  </si>
  <si>
    <t>daily battery discharge (up to max discharge if enough PV generation), kWh</t>
  </si>
  <si>
    <t>of energy needs</t>
  </si>
  <si>
    <t>net meter</t>
  </si>
  <si>
    <t>reduction in energy bills</t>
  </si>
  <si>
    <t>net change in ongoing energy costs</t>
  </si>
  <si>
    <t>Sizing for one night off grid</t>
  </si>
  <si>
    <t>from batts</t>
  </si>
  <si>
    <t>cost, $</t>
  </si>
  <si>
    <t>cost, k$</t>
  </si>
  <si>
    <t>number of batteries</t>
  </si>
  <si>
    <t>number of Sol-Ark 12ks</t>
  </si>
  <si>
    <t>energy from batts, %</t>
  </si>
  <si>
    <t>net meter ratio</t>
  </si>
  <si>
    <t>extra cost/day, $</t>
  </si>
  <si>
    <t>net meter ratio x10</t>
  </si>
  <si>
    <t>add calc to automatically increment Sol-Arks every 36 panels</t>
  </si>
  <si>
    <t>Inputs</t>
  </si>
  <si>
    <t>Outputs</t>
  </si>
  <si>
    <t>Energy from batteries</t>
  </si>
  <si>
    <t>Energy from grid</t>
  </si>
  <si>
    <t>Net meter</t>
  </si>
  <si>
    <t>Part cost</t>
  </si>
  <si>
    <t>Extra cost per day</t>
  </si>
  <si>
    <t>PV power, kW</t>
  </si>
  <si>
    <t>Annual load, kWh</t>
  </si>
  <si>
    <t>Battery pack energy nameplate, kWh</t>
  </si>
  <si>
    <t>Battery pack energy usable, kWh</t>
  </si>
  <si>
    <t>total PV panels</t>
  </si>
  <si>
    <t>existing 180W PV panels</t>
  </si>
  <si>
    <t>new 400W PV panels</t>
  </si>
  <si>
    <t>we have 12 ca. 2003</t>
  </si>
  <si>
    <t>number of existing 48V 4.8 kWh batteries</t>
  </si>
  <si>
    <t>number of new 48V 3.6 kWh batteries</t>
  </si>
  <si>
    <t>Number of existing 180W panels</t>
  </si>
  <si>
    <t>Number of new 400W panels</t>
  </si>
  <si>
    <t>Number of new 3.6 kWh batteries</t>
  </si>
  <si>
    <t>Number of existing 4.8 kWh batteries</t>
  </si>
  <si>
    <t>we have 5 ca. 2008</t>
  </si>
  <si>
    <t>lowest continuous discharge current, C</t>
  </si>
  <si>
    <t>lowest continuous discharge current, amps</t>
  </si>
  <si>
    <t>lowest continuous discharge power, kW</t>
  </si>
  <si>
    <t>minimum discharge margin</t>
  </si>
  <si>
    <t>lowest continuous charge current, C</t>
  </si>
  <si>
    <t>lowest continuous charge current, amps</t>
  </si>
  <si>
    <t>lowest continuous charge power, kW</t>
  </si>
  <si>
    <t>minimum charge margin</t>
  </si>
  <si>
    <t>Phase 3:</t>
  </si>
  <si>
    <t>Phase 1:</t>
  </si>
  <si>
    <t>1.8 kW PV system installed 2003</t>
  </si>
  <si>
    <t>using either more used EV batteries, new LFP or new or refurbished NiFe; would cost up to $1.40/day.</t>
  </si>
  <si>
    <t>Phase 2: assumes 2 Sol-Ark 8ks</t>
  </si>
  <si>
    <t>2 Sol-Ark 8ks</t>
  </si>
  <si>
    <t>Scenario B: remove valley oak, leave old panels on SW roof, add 25 new panels on SE roof</t>
  </si>
  <si>
    <t>assuming no thermal solar</t>
  </si>
  <si>
    <t>Add 4 3.6 kWh batteries totaling 14.4 kWh for up to $10K to increase battery supply from 53% to 69%;</t>
  </si>
  <si>
    <t>heat pump ($4689), controller ($395), air handler ($2499), water tank ($2299) and 3-way switch ($182)</t>
  </si>
  <si>
    <t>does not include BMS costs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</si>
</sst>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6" formatCode="&quot;$&quot;#,##0_);[Red]\(&quot;$&quot;#,##0\)"/>
    <numFmt numFmtId="8" formatCode="&quot;$&quot;#,##0.00_);[Red]\(&quot;$&quot;#,##0.00\)"/>
    <numFmt numFmtId="164" formatCode="&quot;$&quot;#,##0.00"/>
    <numFmt numFmtId="165" formatCode="&quot;$&quot;#,##0"/>
    <numFmt numFmtId="166" formatCode="0.0"/>
    <numFmt numFmtId="167" formatCode="&quot;$&quot;#,##0.0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u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i/>
      <sz val="11"/>
      <color rgb="FFFF00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53">
    <xf numFmtId="0" fontId="0" fillId="0" borderId="0" xfId="0"/>
    <xf numFmtId="14" fontId="0" fillId="0" borderId="0" xfId="0" applyNumberFormat="1"/>
    <xf numFmtId="8" fontId="0" fillId="0" borderId="0" xfId="0" applyNumberFormat="1"/>
    <xf numFmtId="0" fontId="0" fillId="0" borderId="10" xfId="0" applyBorder="1"/>
    <xf numFmtId="8" fontId="0" fillId="0" borderId="10" xfId="0" applyNumberFormat="1" applyBorder="1"/>
    <xf numFmtId="0" fontId="18" fillId="0" borderId="0" xfId="0" applyFont="1" applyAlignment="1">
      <alignment wrapText="1"/>
    </xf>
    <xf numFmtId="164" fontId="0" fillId="0" borderId="0" xfId="0" applyNumberFormat="1"/>
    <xf numFmtId="6" fontId="0" fillId="0" borderId="0" xfId="0" applyNumberFormat="1"/>
    <xf numFmtId="6" fontId="0" fillId="0" borderId="10" xfId="0" applyNumberFormat="1" applyBorder="1"/>
    <xf numFmtId="9" fontId="0" fillId="0" borderId="0" xfId="0" applyNumberFormat="1"/>
    <xf numFmtId="9" fontId="0" fillId="0" borderId="10" xfId="0" applyNumberFormat="1" applyBorder="1"/>
    <xf numFmtId="0" fontId="0" fillId="0" borderId="0" xfId="0" applyBorder="1"/>
    <xf numFmtId="0" fontId="0" fillId="0" borderId="10" xfId="0" applyFill="1" applyBorder="1"/>
    <xf numFmtId="165" fontId="0" fillId="0" borderId="0" xfId="0" applyNumberFormat="1"/>
    <xf numFmtId="0" fontId="0" fillId="0" borderId="0" xfId="0" applyAlignment="1">
      <alignment wrapText="1"/>
    </xf>
    <xf numFmtId="9" fontId="0" fillId="0" borderId="0" xfId="0" applyNumberFormat="1" applyBorder="1"/>
    <xf numFmtId="1" fontId="0" fillId="0" borderId="0" xfId="0" applyNumberFormat="1" applyBorder="1"/>
    <xf numFmtId="166" fontId="0" fillId="0" borderId="0" xfId="0" applyNumberFormat="1" applyBorder="1"/>
    <xf numFmtId="166" fontId="0" fillId="0" borderId="10" xfId="0" applyNumberFormat="1" applyBorder="1"/>
    <xf numFmtId="166" fontId="0" fillId="0" borderId="0" xfId="0" applyNumberFormat="1"/>
    <xf numFmtId="0" fontId="19" fillId="0" borderId="0" xfId="0" applyFont="1"/>
    <xf numFmtId="166" fontId="0" fillId="0" borderId="11" xfId="0" applyNumberFormat="1" applyBorder="1"/>
    <xf numFmtId="166" fontId="0" fillId="0" borderId="12" xfId="0" applyNumberFormat="1" applyBorder="1"/>
    <xf numFmtId="166" fontId="0" fillId="0" borderId="13" xfId="0" applyNumberFormat="1" applyBorder="1"/>
    <xf numFmtId="166" fontId="0" fillId="0" borderId="14" xfId="0" applyNumberFormat="1" applyBorder="1"/>
    <xf numFmtId="166" fontId="0" fillId="0" borderId="15" xfId="0" applyNumberFormat="1" applyBorder="1"/>
    <xf numFmtId="166" fontId="0" fillId="0" borderId="16" xfId="0" applyNumberFormat="1" applyBorder="1"/>
    <xf numFmtId="0" fontId="0" fillId="0" borderId="0" xfId="0" applyAlignment="1"/>
    <xf numFmtId="0" fontId="0" fillId="0" borderId="17" xfId="0" applyBorder="1"/>
    <xf numFmtId="166" fontId="0" fillId="0" borderId="0" xfId="0" applyNumberFormat="1" applyFill="1" applyBorder="1"/>
    <xf numFmtId="2" fontId="0" fillId="0" borderId="10" xfId="0" applyNumberFormat="1" applyBorder="1"/>
    <xf numFmtId="2" fontId="0" fillId="0" borderId="0" xfId="0" applyNumberFormat="1"/>
    <xf numFmtId="0" fontId="0" fillId="33" borderId="10" xfId="0" applyFill="1" applyBorder="1"/>
    <xf numFmtId="166" fontId="0" fillId="34" borderId="0" xfId="0" applyNumberFormat="1" applyFill="1"/>
    <xf numFmtId="9" fontId="0" fillId="0" borderId="0" xfId="0" applyNumberFormat="1" applyFill="1"/>
    <xf numFmtId="0" fontId="18" fillId="0" borderId="0" xfId="0" applyFont="1" applyFill="1" applyAlignment="1">
      <alignment wrapText="1"/>
    </xf>
    <xf numFmtId="1" fontId="0" fillId="33" borderId="10" xfId="0" applyNumberFormat="1" applyFill="1" applyBorder="1"/>
    <xf numFmtId="165" fontId="0" fillId="0" borderId="10" xfId="0" applyNumberFormat="1" applyBorder="1"/>
    <xf numFmtId="6" fontId="0" fillId="0" borderId="0" xfId="0" applyNumberFormat="1" applyBorder="1"/>
    <xf numFmtId="164" fontId="0" fillId="0" borderId="0" xfId="0" applyNumberFormat="1" applyBorder="1"/>
    <xf numFmtId="165" fontId="0" fillId="0" borderId="0" xfId="0" applyNumberFormat="1" applyBorder="1"/>
    <xf numFmtId="8" fontId="0" fillId="0" borderId="0" xfId="0" applyNumberFormat="1" applyBorder="1"/>
    <xf numFmtId="0" fontId="18" fillId="0" borderId="0" xfId="0" applyFont="1"/>
    <xf numFmtId="3" fontId="0" fillId="0" borderId="0" xfId="0" applyNumberFormat="1"/>
    <xf numFmtId="167" fontId="0" fillId="0" borderId="0" xfId="0" applyNumberFormat="1"/>
    <xf numFmtId="1" fontId="0" fillId="0" borderId="0" xfId="0" applyNumberFormat="1"/>
    <xf numFmtId="0" fontId="20" fillId="0" borderId="0" xfId="0" applyFont="1"/>
    <xf numFmtId="0" fontId="0" fillId="0" borderId="18" xfId="0" applyBorder="1"/>
    <xf numFmtId="166" fontId="0" fillId="0" borderId="18" xfId="0" applyNumberFormat="1" applyBorder="1"/>
    <xf numFmtId="9" fontId="0" fillId="0" borderId="18" xfId="0" applyNumberFormat="1" applyBorder="1"/>
    <xf numFmtId="6" fontId="0" fillId="0" borderId="18" xfId="0" applyNumberFormat="1" applyBorder="1"/>
    <xf numFmtId="8" fontId="0" fillId="0" borderId="18" xfId="0" applyNumberFormat="1" applyBorder="1"/>
    <xf numFmtId="6" fontId="0" fillId="33" borderId="10" xfId="0" applyNumberFormat="1" applyFill="1" applyBorder="1"/>
  </cellXfs>
  <cellStyles count="42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4.xml"/><Relationship Id="rId13" Type="http://schemas.openxmlformats.org/officeDocument/2006/relationships/sharedStrings" Target="sharedStrings.xml"/><Relationship Id="rId3" Type="http://schemas.openxmlformats.org/officeDocument/2006/relationships/chartsheet" Target="chartsheets/sheet3.xml"/><Relationship Id="rId7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chartsheet" Target="chartsheets/sheet2.xml"/><Relationship Id="rId1" Type="http://schemas.openxmlformats.org/officeDocument/2006/relationships/chartsheet" Target="chartsheets/sheet1.xml"/><Relationship Id="rId6" Type="http://schemas.openxmlformats.org/officeDocument/2006/relationships/chartsheet" Target="chartsheets/sheet4.xml"/><Relationship Id="rId11" Type="http://schemas.openxmlformats.org/officeDocument/2006/relationships/theme" Target="theme/theme1.xml"/><Relationship Id="rId5" Type="http://schemas.openxmlformats.org/officeDocument/2006/relationships/worksheet" Target="worksheets/sheet2.xml"/><Relationship Id="rId10" Type="http://schemas.openxmlformats.org/officeDocument/2006/relationships/worksheet" Target="worksheets/sheet5.xml"/><Relationship Id="rId4" Type="http://schemas.openxmlformats.org/officeDocument/2006/relationships/worksheet" Target="worksheets/sheet1.xml"/><Relationship Id="rId9" Type="http://schemas.openxmlformats.org/officeDocument/2006/relationships/chartsheet" Target="chartsheets/sheet5.xml"/><Relationship Id="rId14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8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Daily average kWh usage with long range EV</a:t>
            </a:r>
          </a:p>
          <a:p>
            <a:pPr>
              <a:defRPr/>
            </a:pPr>
            <a:r>
              <a:rPr lang="en-US"/>
              <a:t>Average 16.6 kWh, min 10.0 kWh, max 26.5 kWh</a:t>
            </a:r>
          </a:p>
          <a:p>
            <a:pPr>
              <a:defRPr/>
            </a:pPr>
            <a:r>
              <a:rPr lang="en-US"/>
              <a:t>~14 kWh in summer, ~19 kWh in winter (boxed)</a:t>
            </a:r>
            <a:r>
              <a:rPr lang="en-US" baseline="0"/>
              <a:t>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5.5221280564640991E-2"/>
          <c:y val="0.13529547389611929"/>
          <c:w val="0.90753750073496942"/>
          <c:h val="0.78767288602757279"/>
        </c:manualLayout>
      </c:layout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'electric data'!$H$31:$H$78</c:f>
              <c:numCache>
                <c:formatCode>m/d/yyyy</c:formatCode>
                <c:ptCount val="48"/>
                <c:pt idx="0">
                  <c:v>43101</c:v>
                </c:pt>
                <c:pt idx="1">
                  <c:v>43130</c:v>
                </c:pt>
                <c:pt idx="2">
                  <c:v>43160</c:v>
                </c:pt>
                <c:pt idx="3">
                  <c:v>43191</c:v>
                </c:pt>
                <c:pt idx="4">
                  <c:v>43221</c:v>
                </c:pt>
                <c:pt idx="5">
                  <c:v>43251</c:v>
                </c:pt>
                <c:pt idx="6">
                  <c:v>43282</c:v>
                </c:pt>
                <c:pt idx="7">
                  <c:v>43312</c:v>
                </c:pt>
                <c:pt idx="8">
                  <c:v>43342</c:v>
                </c:pt>
                <c:pt idx="9">
                  <c:v>43374</c:v>
                </c:pt>
                <c:pt idx="10">
                  <c:v>43404</c:v>
                </c:pt>
                <c:pt idx="11">
                  <c:v>43436</c:v>
                </c:pt>
                <c:pt idx="12">
                  <c:v>43467</c:v>
                </c:pt>
                <c:pt idx="13">
                  <c:v>43496</c:v>
                </c:pt>
                <c:pt idx="14">
                  <c:v>43528</c:v>
                </c:pt>
                <c:pt idx="15">
                  <c:v>43557</c:v>
                </c:pt>
                <c:pt idx="16">
                  <c:v>43587</c:v>
                </c:pt>
                <c:pt idx="17">
                  <c:v>43619</c:v>
                </c:pt>
                <c:pt idx="18">
                  <c:v>43648</c:v>
                </c:pt>
                <c:pt idx="19">
                  <c:v>43678</c:v>
                </c:pt>
                <c:pt idx="20">
                  <c:v>43711</c:v>
                </c:pt>
                <c:pt idx="21">
                  <c:v>43740</c:v>
                </c:pt>
                <c:pt idx="22">
                  <c:v>43769</c:v>
                </c:pt>
                <c:pt idx="23">
                  <c:v>43802</c:v>
                </c:pt>
                <c:pt idx="24">
                  <c:v>43832</c:v>
                </c:pt>
                <c:pt idx="25">
                  <c:v>43863</c:v>
                </c:pt>
                <c:pt idx="26">
                  <c:v>43893</c:v>
                </c:pt>
                <c:pt idx="27">
                  <c:v>43922</c:v>
                </c:pt>
                <c:pt idx="28">
                  <c:v>43954</c:v>
                </c:pt>
                <c:pt idx="29">
                  <c:v>43984</c:v>
                </c:pt>
                <c:pt idx="30">
                  <c:v>44013</c:v>
                </c:pt>
                <c:pt idx="31">
                  <c:v>44042</c:v>
                </c:pt>
                <c:pt idx="32">
                  <c:v>44074</c:v>
                </c:pt>
                <c:pt idx="33">
                  <c:v>44104</c:v>
                </c:pt>
                <c:pt idx="34">
                  <c:v>44136</c:v>
                </c:pt>
                <c:pt idx="35">
                  <c:v>44167</c:v>
                </c:pt>
                <c:pt idx="36">
                  <c:v>44199</c:v>
                </c:pt>
                <c:pt idx="37">
                  <c:v>44228</c:v>
                </c:pt>
                <c:pt idx="38">
                  <c:v>44258</c:v>
                </c:pt>
                <c:pt idx="39">
                  <c:v>44287</c:v>
                </c:pt>
                <c:pt idx="40">
                  <c:v>44319</c:v>
                </c:pt>
                <c:pt idx="41">
                  <c:v>44349</c:v>
                </c:pt>
                <c:pt idx="42">
                  <c:v>44378</c:v>
                </c:pt>
                <c:pt idx="43">
                  <c:v>44410</c:v>
                </c:pt>
                <c:pt idx="44">
                  <c:v>44440</c:v>
                </c:pt>
                <c:pt idx="45">
                  <c:v>44472</c:v>
                </c:pt>
                <c:pt idx="46">
                  <c:v>44501</c:v>
                </c:pt>
                <c:pt idx="47">
                  <c:v>44532</c:v>
                </c:pt>
              </c:numCache>
            </c:numRef>
          </c:xVal>
          <c:yVal>
            <c:numRef>
              <c:f>'electric data'!$J$31:$J$78</c:f>
              <c:numCache>
                <c:formatCode>General</c:formatCode>
                <c:ptCount val="48"/>
                <c:pt idx="0">
                  <c:v>28.004383561643834</c:v>
                </c:pt>
                <c:pt idx="1">
                  <c:v>26.532164383561643</c:v>
                </c:pt>
                <c:pt idx="2">
                  <c:v>20.304000000000002</c:v>
                </c:pt>
                <c:pt idx="3">
                  <c:v>22.304876712328767</c:v>
                </c:pt>
                <c:pt idx="4">
                  <c:v>18.472109589041096</c:v>
                </c:pt>
                <c:pt idx="5">
                  <c:v>18.438904109589043</c:v>
                </c:pt>
                <c:pt idx="6">
                  <c:v>16.360767123287669</c:v>
                </c:pt>
                <c:pt idx="7">
                  <c:v>15.733808219178082</c:v>
                </c:pt>
                <c:pt idx="8">
                  <c:v>10.251287671232877</c:v>
                </c:pt>
                <c:pt idx="9">
                  <c:v>15.072986301369863</c:v>
                </c:pt>
                <c:pt idx="10">
                  <c:v>15.053917808219177</c:v>
                </c:pt>
                <c:pt idx="11">
                  <c:v>22.293369863013698</c:v>
                </c:pt>
                <c:pt idx="12">
                  <c:v>23.775452054794517</c:v>
                </c:pt>
                <c:pt idx="13">
                  <c:v>20.628821917808221</c:v>
                </c:pt>
                <c:pt idx="14">
                  <c:v>18.465863013698627</c:v>
                </c:pt>
                <c:pt idx="15">
                  <c:v>15.441205479452055</c:v>
                </c:pt>
                <c:pt idx="16">
                  <c:v>13.038246575342464</c:v>
                </c:pt>
                <c:pt idx="17">
                  <c:v>12.986630136986301</c:v>
                </c:pt>
                <c:pt idx="18">
                  <c:v>12.815342465753425</c:v>
                </c:pt>
                <c:pt idx="19">
                  <c:v>11.00186301369863</c:v>
                </c:pt>
                <c:pt idx="20">
                  <c:v>13.788821917808219</c:v>
                </c:pt>
                <c:pt idx="21">
                  <c:v>11.392767123287669</c:v>
                </c:pt>
                <c:pt idx="22">
                  <c:v>10.84668493150685</c:v>
                </c:pt>
                <c:pt idx="23">
                  <c:v>17.603835616438356</c:v>
                </c:pt>
                <c:pt idx="24">
                  <c:v>17.706739726027397</c:v>
                </c:pt>
                <c:pt idx="25">
                  <c:v>17.804712328767121</c:v>
                </c:pt>
                <c:pt idx="26">
                  <c:v>9.9734794520547947</c:v>
                </c:pt>
                <c:pt idx="27">
                  <c:v>13.052383561643834</c:v>
                </c:pt>
                <c:pt idx="28">
                  <c:v>14.720876712328765</c:v>
                </c:pt>
                <c:pt idx="29">
                  <c:v>14.058739726027397</c:v>
                </c:pt>
                <c:pt idx="30">
                  <c:v>13.357479452054795</c:v>
                </c:pt>
                <c:pt idx="31">
                  <c:v>10.561972602739726</c:v>
                </c:pt>
                <c:pt idx="32">
                  <c:v>19.558356164383561</c:v>
                </c:pt>
                <c:pt idx="33">
                  <c:v>17.63013698630137</c:v>
                </c:pt>
                <c:pt idx="43">
                  <c:v>13.562301369863013</c:v>
                </c:pt>
                <c:pt idx="44">
                  <c:v>14.227397260273973</c:v>
                </c:pt>
                <c:pt idx="45">
                  <c:v>23.148164383561642</c:v>
                </c:pt>
                <c:pt idx="46">
                  <c:v>15.309041095890409</c:v>
                </c:pt>
                <c:pt idx="47">
                  <c:v>23.752438356164383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876-4BBF-B1F8-FBDA10B16E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414047"/>
        <c:axId val="917414463"/>
      </c:scatterChart>
      <c:valAx>
        <c:axId val="91741404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Monthly</a:t>
                </a:r>
                <a:r>
                  <a:rPr lang="en-US" baseline="0"/>
                  <a:t> billing period ending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414463"/>
        <c:crosses val="autoZero"/>
        <c:crossBetween val="midCat"/>
        <c:majorUnit val="180"/>
        <c:minorUnit val="30"/>
      </c:valAx>
      <c:valAx>
        <c:axId val="91741446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</a:t>
                </a:r>
                <a:r>
                  <a:rPr lang="en-US" baseline="0"/>
                  <a:t> kWh used per day during billing period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1741404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Monthly Natural Gas Usage</a:t>
            </a:r>
          </a:p>
          <a:p>
            <a:pPr>
              <a:defRPr/>
            </a:pPr>
            <a:r>
              <a:rPr lang="en-US"/>
              <a:t>9</a:t>
            </a:r>
            <a:r>
              <a:rPr lang="en-US" baseline="0"/>
              <a:t> therms/month for hot water steadily throughout year, 108 therms/year</a:t>
            </a:r>
          </a:p>
          <a:p>
            <a:pPr>
              <a:defRPr/>
            </a:pPr>
            <a:r>
              <a:rPr lang="en-US" baseline="0"/>
              <a:t>312 therms/year for furnace, 74% of 420 therms/year total 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'gas data'!$C$7:$C$125</c:f>
              <c:numCache>
                <c:formatCode>m/d/yyyy</c:formatCode>
                <c:ptCount val="119"/>
                <c:pt idx="0">
                  <c:v>40940</c:v>
                </c:pt>
                <c:pt idx="1">
                  <c:v>40970</c:v>
                </c:pt>
                <c:pt idx="2">
                  <c:v>41001</c:v>
                </c:pt>
                <c:pt idx="3">
                  <c:v>41031</c:v>
                </c:pt>
                <c:pt idx="4">
                  <c:v>41061</c:v>
                </c:pt>
                <c:pt idx="5">
                  <c:v>41092</c:v>
                </c:pt>
                <c:pt idx="6">
                  <c:v>41122</c:v>
                </c:pt>
                <c:pt idx="7">
                  <c:v>41151</c:v>
                </c:pt>
                <c:pt idx="8">
                  <c:v>41183</c:v>
                </c:pt>
                <c:pt idx="9">
                  <c:v>41212</c:v>
                </c:pt>
                <c:pt idx="10">
                  <c:v>41243</c:v>
                </c:pt>
                <c:pt idx="11">
                  <c:v>41276</c:v>
                </c:pt>
                <c:pt idx="12">
                  <c:v>41305</c:v>
                </c:pt>
                <c:pt idx="13">
                  <c:v>41337</c:v>
                </c:pt>
                <c:pt idx="14">
                  <c:v>41366</c:v>
                </c:pt>
                <c:pt idx="15">
                  <c:v>41396</c:v>
                </c:pt>
                <c:pt idx="16">
                  <c:v>41428</c:v>
                </c:pt>
                <c:pt idx="17">
                  <c:v>41457</c:v>
                </c:pt>
                <c:pt idx="18">
                  <c:v>41487</c:v>
                </c:pt>
                <c:pt idx="19">
                  <c:v>41516</c:v>
                </c:pt>
                <c:pt idx="20">
                  <c:v>41548</c:v>
                </c:pt>
                <c:pt idx="21">
                  <c:v>41577</c:v>
                </c:pt>
                <c:pt idx="22">
                  <c:v>41610</c:v>
                </c:pt>
                <c:pt idx="23">
                  <c:v>41639</c:v>
                </c:pt>
                <c:pt idx="24">
                  <c:v>41670</c:v>
                </c:pt>
                <c:pt idx="25">
                  <c:v>41702</c:v>
                </c:pt>
                <c:pt idx="26">
                  <c:v>41731</c:v>
                </c:pt>
                <c:pt idx="27">
                  <c:v>41761</c:v>
                </c:pt>
                <c:pt idx="28">
                  <c:v>41793</c:v>
                </c:pt>
                <c:pt idx="29">
                  <c:v>41822</c:v>
                </c:pt>
                <c:pt idx="30">
                  <c:v>41855</c:v>
                </c:pt>
                <c:pt idx="31">
                  <c:v>41886</c:v>
                </c:pt>
                <c:pt idx="32">
                  <c:v>41915</c:v>
                </c:pt>
                <c:pt idx="33">
                  <c:v>41946</c:v>
                </c:pt>
                <c:pt idx="34">
                  <c:v>41977</c:v>
                </c:pt>
                <c:pt idx="35">
                  <c:v>42007</c:v>
                </c:pt>
                <c:pt idx="36">
                  <c:v>42038</c:v>
                </c:pt>
                <c:pt idx="37">
                  <c:v>42068</c:v>
                </c:pt>
                <c:pt idx="38">
                  <c:v>42097</c:v>
                </c:pt>
                <c:pt idx="39">
                  <c:v>42129</c:v>
                </c:pt>
                <c:pt idx="40">
                  <c:v>42159</c:v>
                </c:pt>
                <c:pt idx="41">
                  <c:v>42188</c:v>
                </c:pt>
                <c:pt idx="42">
                  <c:v>42219</c:v>
                </c:pt>
                <c:pt idx="43">
                  <c:v>42249</c:v>
                </c:pt>
                <c:pt idx="44">
                  <c:v>42279</c:v>
                </c:pt>
                <c:pt idx="45">
                  <c:v>42310</c:v>
                </c:pt>
                <c:pt idx="46">
                  <c:v>42341</c:v>
                </c:pt>
                <c:pt idx="47">
                  <c:v>42373</c:v>
                </c:pt>
                <c:pt idx="48">
                  <c:v>42402</c:v>
                </c:pt>
                <c:pt idx="49">
                  <c:v>42432</c:v>
                </c:pt>
                <c:pt idx="50">
                  <c:v>42461</c:v>
                </c:pt>
                <c:pt idx="51">
                  <c:v>42493</c:v>
                </c:pt>
                <c:pt idx="52">
                  <c:v>42523</c:v>
                </c:pt>
                <c:pt idx="53">
                  <c:v>42552</c:v>
                </c:pt>
                <c:pt idx="54">
                  <c:v>42584</c:v>
                </c:pt>
                <c:pt idx="55">
                  <c:v>42614</c:v>
                </c:pt>
                <c:pt idx="56">
                  <c:v>42646</c:v>
                </c:pt>
                <c:pt idx="57">
                  <c:v>42675</c:v>
                </c:pt>
                <c:pt idx="58">
                  <c:v>42706</c:v>
                </c:pt>
                <c:pt idx="59">
                  <c:v>42738</c:v>
                </c:pt>
                <c:pt idx="60">
                  <c:v>42767</c:v>
                </c:pt>
                <c:pt idx="61">
                  <c:v>42797</c:v>
                </c:pt>
                <c:pt idx="62">
                  <c:v>42828</c:v>
                </c:pt>
                <c:pt idx="63">
                  <c:v>42858</c:v>
                </c:pt>
                <c:pt idx="64">
                  <c:v>42888</c:v>
                </c:pt>
                <c:pt idx="65">
                  <c:v>42919</c:v>
                </c:pt>
                <c:pt idx="66">
                  <c:v>42949</c:v>
                </c:pt>
                <c:pt idx="67">
                  <c:v>42979</c:v>
                </c:pt>
                <c:pt idx="68">
                  <c:v>43011</c:v>
                </c:pt>
                <c:pt idx="69">
                  <c:v>43040</c:v>
                </c:pt>
                <c:pt idx="70">
                  <c:v>43070</c:v>
                </c:pt>
                <c:pt idx="71">
                  <c:v>43102</c:v>
                </c:pt>
                <c:pt idx="72">
                  <c:v>43131</c:v>
                </c:pt>
                <c:pt idx="73">
                  <c:v>43161</c:v>
                </c:pt>
                <c:pt idx="74">
                  <c:v>43192</c:v>
                </c:pt>
                <c:pt idx="75">
                  <c:v>43222</c:v>
                </c:pt>
                <c:pt idx="76">
                  <c:v>43252</c:v>
                </c:pt>
                <c:pt idx="77">
                  <c:v>43283</c:v>
                </c:pt>
                <c:pt idx="78">
                  <c:v>43313</c:v>
                </c:pt>
                <c:pt idx="79">
                  <c:v>43343</c:v>
                </c:pt>
                <c:pt idx="80">
                  <c:v>43375</c:v>
                </c:pt>
                <c:pt idx="81">
                  <c:v>43405</c:v>
                </c:pt>
                <c:pt idx="82">
                  <c:v>43437</c:v>
                </c:pt>
                <c:pt idx="83">
                  <c:v>43468</c:v>
                </c:pt>
                <c:pt idx="84">
                  <c:v>43497</c:v>
                </c:pt>
                <c:pt idx="85">
                  <c:v>43529</c:v>
                </c:pt>
                <c:pt idx="86">
                  <c:v>43558</c:v>
                </c:pt>
                <c:pt idx="87">
                  <c:v>43588</c:v>
                </c:pt>
                <c:pt idx="88">
                  <c:v>43620</c:v>
                </c:pt>
                <c:pt idx="89">
                  <c:v>43649</c:v>
                </c:pt>
                <c:pt idx="90">
                  <c:v>43679</c:v>
                </c:pt>
                <c:pt idx="91">
                  <c:v>43712</c:v>
                </c:pt>
                <c:pt idx="92">
                  <c:v>43741</c:v>
                </c:pt>
                <c:pt idx="93">
                  <c:v>43770</c:v>
                </c:pt>
                <c:pt idx="94">
                  <c:v>43803</c:v>
                </c:pt>
                <c:pt idx="95">
                  <c:v>43833</c:v>
                </c:pt>
                <c:pt idx="96">
                  <c:v>43864</c:v>
                </c:pt>
                <c:pt idx="97">
                  <c:v>43894</c:v>
                </c:pt>
                <c:pt idx="98">
                  <c:v>43923</c:v>
                </c:pt>
                <c:pt idx="99">
                  <c:v>43955</c:v>
                </c:pt>
                <c:pt idx="100">
                  <c:v>43985</c:v>
                </c:pt>
                <c:pt idx="101">
                  <c:v>44014</c:v>
                </c:pt>
                <c:pt idx="102">
                  <c:v>44043</c:v>
                </c:pt>
                <c:pt idx="103">
                  <c:v>44075</c:v>
                </c:pt>
                <c:pt idx="104">
                  <c:v>44105</c:v>
                </c:pt>
                <c:pt idx="105">
                  <c:v>44137</c:v>
                </c:pt>
                <c:pt idx="106">
                  <c:v>44168</c:v>
                </c:pt>
                <c:pt idx="107">
                  <c:v>44200</c:v>
                </c:pt>
                <c:pt idx="108">
                  <c:v>44229</c:v>
                </c:pt>
                <c:pt idx="109">
                  <c:v>44259</c:v>
                </c:pt>
                <c:pt idx="110">
                  <c:v>44288</c:v>
                </c:pt>
                <c:pt idx="111">
                  <c:v>44320</c:v>
                </c:pt>
                <c:pt idx="112">
                  <c:v>44350</c:v>
                </c:pt>
                <c:pt idx="113">
                  <c:v>44379</c:v>
                </c:pt>
                <c:pt idx="114">
                  <c:v>44411</c:v>
                </c:pt>
                <c:pt idx="115">
                  <c:v>44441</c:v>
                </c:pt>
                <c:pt idx="116">
                  <c:v>44473</c:v>
                </c:pt>
                <c:pt idx="117">
                  <c:v>44502</c:v>
                </c:pt>
                <c:pt idx="118">
                  <c:v>44533</c:v>
                </c:pt>
              </c:numCache>
            </c:numRef>
          </c:xVal>
          <c:yVal>
            <c:numRef>
              <c:f>'gas data'!$D$7:$D$125</c:f>
              <c:numCache>
                <c:formatCode>General</c:formatCode>
                <c:ptCount val="119"/>
                <c:pt idx="0">
                  <c:v>99</c:v>
                </c:pt>
                <c:pt idx="1">
                  <c:v>79</c:v>
                </c:pt>
                <c:pt idx="2">
                  <c:v>63</c:v>
                </c:pt>
                <c:pt idx="3">
                  <c:v>40</c:v>
                </c:pt>
                <c:pt idx="4">
                  <c:v>10</c:v>
                </c:pt>
                <c:pt idx="5">
                  <c:v>9</c:v>
                </c:pt>
                <c:pt idx="6">
                  <c:v>9</c:v>
                </c:pt>
                <c:pt idx="7">
                  <c:v>9</c:v>
                </c:pt>
                <c:pt idx="8">
                  <c:v>10</c:v>
                </c:pt>
                <c:pt idx="9">
                  <c:v>19</c:v>
                </c:pt>
                <c:pt idx="10">
                  <c:v>59</c:v>
                </c:pt>
                <c:pt idx="11">
                  <c:v>103</c:v>
                </c:pt>
                <c:pt idx="12">
                  <c:v>126</c:v>
                </c:pt>
                <c:pt idx="13">
                  <c:v>105</c:v>
                </c:pt>
                <c:pt idx="14">
                  <c:v>50</c:v>
                </c:pt>
                <c:pt idx="15">
                  <c:v>29</c:v>
                </c:pt>
                <c:pt idx="16">
                  <c:v>12</c:v>
                </c:pt>
                <c:pt idx="17">
                  <c:v>8</c:v>
                </c:pt>
                <c:pt idx="18">
                  <c:v>9</c:v>
                </c:pt>
                <c:pt idx="19">
                  <c:v>14</c:v>
                </c:pt>
                <c:pt idx="20">
                  <c:v>14</c:v>
                </c:pt>
                <c:pt idx="21">
                  <c:v>23</c:v>
                </c:pt>
                <c:pt idx="22">
                  <c:v>70</c:v>
                </c:pt>
                <c:pt idx="23">
                  <c:v>117</c:v>
                </c:pt>
                <c:pt idx="24">
                  <c:v>63</c:v>
                </c:pt>
                <c:pt idx="25">
                  <c:v>69</c:v>
                </c:pt>
                <c:pt idx="26">
                  <c:v>34</c:v>
                </c:pt>
                <c:pt idx="27">
                  <c:v>22</c:v>
                </c:pt>
                <c:pt idx="28">
                  <c:v>13</c:v>
                </c:pt>
                <c:pt idx="29">
                  <c:v>8</c:v>
                </c:pt>
                <c:pt idx="30">
                  <c:v>9</c:v>
                </c:pt>
                <c:pt idx="31">
                  <c:v>8</c:v>
                </c:pt>
                <c:pt idx="32">
                  <c:v>8</c:v>
                </c:pt>
                <c:pt idx="33">
                  <c:v>10</c:v>
                </c:pt>
                <c:pt idx="34">
                  <c:v>37</c:v>
                </c:pt>
                <c:pt idx="35">
                  <c:v>55</c:v>
                </c:pt>
                <c:pt idx="36">
                  <c:v>65</c:v>
                </c:pt>
                <c:pt idx="37">
                  <c:v>46</c:v>
                </c:pt>
                <c:pt idx="38">
                  <c:v>21</c:v>
                </c:pt>
                <c:pt idx="39">
                  <c:v>20</c:v>
                </c:pt>
                <c:pt idx="40">
                  <c:v>12</c:v>
                </c:pt>
                <c:pt idx="41">
                  <c:v>6</c:v>
                </c:pt>
                <c:pt idx="42">
                  <c:v>7</c:v>
                </c:pt>
                <c:pt idx="43">
                  <c:v>8</c:v>
                </c:pt>
                <c:pt idx="44">
                  <c:v>7</c:v>
                </c:pt>
                <c:pt idx="45">
                  <c:v>8</c:v>
                </c:pt>
                <c:pt idx="46">
                  <c:v>61</c:v>
                </c:pt>
                <c:pt idx="47">
                  <c:v>89</c:v>
                </c:pt>
                <c:pt idx="48">
                  <c:v>62</c:v>
                </c:pt>
                <c:pt idx="49">
                  <c:v>38</c:v>
                </c:pt>
                <c:pt idx="50">
                  <c:v>37</c:v>
                </c:pt>
                <c:pt idx="51">
                  <c:v>18</c:v>
                </c:pt>
                <c:pt idx="52">
                  <c:v>11</c:v>
                </c:pt>
                <c:pt idx="53">
                  <c:v>7</c:v>
                </c:pt>
                <c:pt idx="54">
                  <c:v>8</c:v>
                </c:pt>
                <c:pt idx="55">
                  <c:v>8</c:v>
                </c:pt>
                <c:pt idx="56">
                  <c:v>8</c:v>
                </c:pt>
                <c:pt idx="57">
                  <c:v>10</c:v>
                </c:pt>
                <c:pt idx="58">
                  <c:v>47</c:v>
                </c:pt>
                <c:pt idx="59">
                  <c:v>88</c:v>
                </c:pt>
                <c:pt idx="60">
                  <c:v>86</c:v>
                </c:pt>
                <c:pt idx="61">
                  <c:v>71</c:v>
                </c:pt>
                <c:pt idx="62">
                  <c:v>41</c:v>
                </c:pt>
                <c:pt idx="63">
                  <c:v>30</c:v>
                </c:pt>
                <c:pt idx="64">
                  <c:v>14</c:v>
                </c:pt>
                <c:pt idx="65">
                  <c:v>10</c:v>
                </c:pt>
                <c:pt idx="66">
                  <c:v>6</c:v>
                </c:pt>
                <c:pt idx="67">
                  <c:v>8</c:v>
                </c:pt>
                <c:pt idx="68">
                  <c:v>8</c:v>
                </c:pt>
                <c:pt idx="69">
                  <c:v>16</c:v>
                </c:pt>
                <c:pt idx="70">
                  <c:v>56</c:v>
                </c:pt>
                <c:pt idx="71">
                  <c:v>106</c:v>
                </c:pt>
                <c:pt idx="72">
                  <c:v>75</c:v>
                </c:pt>
                <c:pt idx="73">
                  <c:v>74</c:v>
                </c:pt>
                <c:pt idx="74">
                  <c:v>64</c:v>
                </c:pt>
                <c:pt idx="75">
                  <c:v>32</c:v>
                </c:pt>
                <c:pt idx="76">
                  <c:v>12</c:v>
                </c:pt>
                <c:pt idx="77">
                  <c:v>11</c:v>
                </c:pt>
                <c:pt idx="78">
                  <c:v>8</c:v>
                </c:pt>
                <c:pt idx="79">
                  <c:v>9</c:v>
                </c:pt>
                <c:pt idx="80">
                  <c:v>8</c:v>
                </c:pt>
                <c:pt idx="81">
                  <c:v>9</c:v>
                </c:pt>
                <c:pt idx="82">
                  <c:v>60</c:v>
                </c:pt>
                <c:pt idx="83">
                  <c:v>73</c:v>
                </c:pt>
                <c:pt idx="84">
                  <c:v>61</c:v>
                </c:pt>
                <c:pt idx="85">
                  <c:v>86</c:v>
                </c:pt>
                <c:pt idx="86">
                  <c:v>48</c:v>
                </c:pt>
                <c:pt idx="87">
                  <c:v>17</c:v>
                </c:pt>
                <c:pt idx="88">
                  <c:v>23</c:v>
                </c:pt>
                <c:pt idx="89">
                  <c:v>7</c:v>
                </c:pt>
                <c:pt idx="90">
                  <c:v>10</c:v>
                </c:pt>
                <c:pt idx="91">
                  <c:v>11</c:v>
                </c:pt>
                <c:pt idx="92">
                  <c:v>8</c:v>
                </c:pt>
                <c:pt idx="93">
                  <c:v>16</c:v>
                </c:pt>
                <c:pt idx="94">
                  <c:v>52</c:v>
                </c:pt>
                <c:pt idx="95">
                  <c:v>61</c:v>
                </c:pt>
                <c:pt idx="96">
                  <c:v>78</c:v>
                </c:pt>
                <c:pt idx="97">
                  <c:v>43</c:v>
                </c:pt>
                <c:pt idx="98">
                  <c:v>57</c:v>
                </c:pt>
                <c:pt idx="99">
                  <c:v>25</c:v>
                </c:pt>
                <c:pt idx="100">
                  <c:v>13</c:v>
                </c:pt>
                <c:pt idx="101">
                  <c:v>10</c:v>
                </c:pt>
                <c:pt idx="102">
                  <c:v>9</c:v>
                </c:pt>
                <c:pt idx="103">
                  <c:v>13</c:v>
                </c:pt>
                <c:pt idx="104">
                  <c:v>12</c:v>
                </c:pt>
                <c:pt idx="105">
                  <c:v>11</c:v>
                </c:pt>
                <c:pt idx="106">
                  <c:v>66</c:v>
                </c:pt>
                <c:pt idx="107">
                  <c:v>77</c:v>
                </c:pt>
                <c:pt idx="108">
                  <c:v>72</c:v>
                </c:pt>
                <c:pt idx="109">
                  <c:v>61</c:v>
                </c:pt>
                <c:pt idx="110">
                  <c:v>51</c:v>
                </c:pt>
                <c:pt idx="111">
                  <c:v>24</c:v>
                </c:pt>
                <c:pt idx="112">
                  <c:v>7</c:v>
                </c:pt>
                <c:pt idx="113">
                  <c:v>9</c:v>
                </c:pt>
                <c:pt idx="114">
                  <c:v>9</c:v>
                </c:pt>
                <c:pt idx="115">
                  <c:v>8</c:v>
                </c:pt>
                <c:pt idx="116">
                  <c:v>11</c:v>
                </c:pt>
                <c:pt idx="117">
                  <c:v>17</c:v>
                </c:pt>
                <c:pt idx="118">
                  <c:v>45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8033-473D-BD43-DE2DDF5616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43708751"/>
        <c:axId val="443705839"/>
      </c:scatterChart>
      <c:valAx>
        <c:axId val="443708751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 ending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05839"/>
        <c:crosses val="autoZero"/>
        <c:crossBetween val="midCat"/>
        <c:majorUnit val="365"/>
        <c:minorUnit val="30.416667"/>
      </c:valAx>
      <c:valAx>
        <c:axId val="443705839"/>
        <c:scaling>
          <c:orientation val="minMax"/>
          <c:max val="1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Therms used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43708751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Cost per therm: average ~$2 now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'gas data'!$G$7:$G$125</c:f>
              <c:numCache>
                <c:formatCode>m/d/yyyy</c:formatCode>
                <c:ptCount val="119"/>
                <c:pt idx="0">
                  <c:v>40940</c:v>
                </c:pt>
                <c:pt idx="1">
                  <c:v>40970</c:v>
                </c:pt>
                <c:pt idx="2">
                  <c:v>41001</c:v>
                </c:pt>
                <c:pt idx="3">
                  <c:v>41031</c:v>
                </c:pt>
                <c:pt idx="4">
                  <c:v>41061</c:v>
                </c:pt>
                <c:pt idx="5">
                  <c:v>41092</c:v>
                </c:pt>
                <c:pt idx="6">
                  <c:v>41122</c:v>
                </c:pt>
                <c:pt idx="7">
                  <c:v>41151</c:v>
                </c:pt>
                <c:pt idx="8">
                  <c:v>41183</c:v>
                </c:pt>
                <c:pt idx="9">
                  <c:v>41212</c:v>
                </c:pt>
                <c:pt idx="10">
                  <c:v>41243</c:v>
                </c:pt>
                <c:pt idx="11">
                  <c:v>41276</c:v>
                </c:pt>
                <c:pt idx="12">
                  <c:v>41305</c:v>
                </c:pt>
                <c:pt idx="13">
                  <c:v>41337</c:v>
                </c:pt>
                <c:pt idx="14">
                  <c:v>41366</c:v>
                </c:pt>
                <c:pt idx="15">
                  <c:v>41396</c:v>
                </c:pt>
                <c:pt idx="16">
                  <c:v>41428</c:v>
                </c:pt>
                <c:pt idx="17">
                  <c:v>41457</c:v>
                </c:pt>
                <c:pt idx="18">
                  <c:v>41487</c:v>
                </c:pt>
                <c:pt idx="19">
                  <c:v>41516</c:v>
                </c:pt>
                <c:pt idx="20">
                  <c:v>41548</c:v>
                </c:pt>
                <c:pt idx="21">
                  <c:v>41577</c:v>
                </c:pt>
                <c:pt idx="22">
                  <c:v>41610</c:v>
                </c:pt>
                <c:pt idx="23">
                  <c:v>41639</c:v>
                </c:pt>
                <c:pt idx="24">
                  <c:v>41670</c:v>
                </c:pt>
                <c:pt idx="25">
                  <c:v>41702</c:v>
                </c:pt>
                <c:pt idx="26">
                  <c:v>41731</c:v>
                </c:pt>
                <c:pt idx="27">
                  <c:v>41761</c:v>
                </c:pt>
                <c:pt idx="28">
                  <c:v>41793</c:v>
                </c:pt>
                <c:pt idx="29">
                  <c:v>41822</c:v>
                </c:pt>
                <c:pt idx="30">
                  <c:v>41855</c:v>
                </c:pt>
                <c:pt idx="31">
                  <c:v>41886</c:v>
                </c:pt>
                <c:pt idx="32">
                  <c:v>41915</c:v>
                </c:pt>
                <c:pt idx="33">
                  <c:v>41946</c:v>
                </c:pt>
                <c:pt idx="34">
                  <c:v>41977</c:v>
                </c:pt>
                <c:pt idx="35">
                  <c:v>42007</c:v>
                </c:pt>
                <c:pt idx="36">
                  <c:v>42038</c:v>
                </c:pt>
                <c:pt idx="37">
                  <c:v>42068</c:v>
                </c:pt>
                <c:pt idx="38">
                  <c:v>42097</c:v>
                </c:pt>
                <c:pt idx="39">
                  <c:v>42129</c:v>
                </c:pt>
                <c:pt idx="40">
                  <c:v>42159</c:v>
                </c:pt>
                <c:pt idx="41">
                  <c:v>42188</c:v>
                </c:pt>
                <c:pt idx="42">
                  <c:v>42219</c:v>
                </c:pt>
                <c:pt idx="43">
                  <c:v>42249</c:v>
                </c:pt>
                <c:pt idx="44">
                  <c:v>42279</c:v>
                </c:pt>
                <c:pt idx="45">
                  <c:v>42310</c:v>
                </c:pt>
                <c:pt idx="46">
                  <c:v>42341</c:v>
                </c:pt>
                <c:pt idx="47">
                  <c:v>42373</c:v>
                </c:pt>
                <c:pt idx="48">
                  <c:v>42402</c:v>
                </c:pt>
                <c:pt idx="49">
                  <c:v>42432</c:v>
                </c:pt>
                <c:pt idx="50">
                  <c:v>42461</c:v>
                </c:pt>
                <c:pt idx="51">
                  <c:v>42493</c:v>
                </c:pt>
                <c:pt idx="52">
                  <c:v>42523</c:v>
                </c:pt>
                <c:pt idx="53">
                  <c:v>42552</c:v>
                </c:pt>
                <c:pt idx="54">
                  <c:v>42584</c:v>
                </c:pt>
                <c:pt idx="55">
                  <c:v>42614</c:v>
                </c:pt>
                <c:pt idx="56">
                  <c:v>42646</c:v>
                </c:pt>
                <c:pt idx="57">
                  <c:v>42675</c:v>
                </c:pt>
                <c:pt idx="58">
                  <c:v>42706</c:v>
                </c:pt>
                <c:pt idx="59">
                  <c:v>42738</c:v>
                </c:pt>
                <c:pt idx="60">
                  <c:v>42767</c:v>
                </c:pt>
                <c:pt idx="61">
                  <c:v>42797</c:v>
                </c:pt>
                <c:pt idx="62">
                  <c:v>42828</c:v>
                </c:pt>
                <c:pt idx="63">
                  <c:v>42858</c:v>
                </c:pt>
                <c:pt idx="64">
                  <c:v>42888</c:v>
                </c:pt>
                <c:pt idx="65">
                  <c:v>42919</c:v>
                </c:pt>
                <c:pt idx="66">
                  <c:v>42949</c:v>
                </c:pt>
                <c:pt idx="67">
                  <c:v>42979</c:v>
                </c:pt>
                <c:pt idx="68">
                  <c:v>43011</c:v>
                </c:pt>
                <c:pt idx="69">
                  <c:v>43040</c:v>
                </c:pt>
                <c:pt idx="70">
                  <c:v>43070</c:v>
                </c:pt>
                <c:pt idx="71">
                  <c:v>43102</c:v>
                </c:pt>
                <c:pt idx="72">
                  <c:v>43131</c:v>
                </c:pt>
                <c:pt idx="73">
                  <c:v>43161</c:v>
                </c:pt>
                <c:pt idx="74">
                  <c:v>43192</c:v>
                </c:pt>
                <c:pt idx="75">
                  <c:v>43222</c:v>
                </c:pt>
                <c:pt idx="76">
                  <c:v>43252</c:v>
                </c:pt>
                <c:pt idx="77">
                  <c:v>43283</c:v>
                </c:pt>
                <c:pt idx="78">
                  <c:v>43313</c:v>
                </c:pt>
                <c:pt idx="79">
                  <c:v>43343</c:v>
                </c:pt>
                <c:pt idx="80">
                  <c:v>43375</c:v>
                </c:pt>
                <c:pt idx="81">
                  <c:v>43405</c:v>
                </c:pt>
                <c:pt idx="82">
                  <c:v>43437</c:v>
                </c:pt>
                <c:pt idx="83">
                  <c:v>43468</c:v>
                </c:pt>
                <c:pt idx="84">
                  <c:v>43497</c:v>
                </c:pt>
                <c:pt idx="85">
                  <c:v>43529</c:v>
                </c:pt>
                <c:pt idx="86">
                  <c:v>43558</c:v>
                </c:pt>
                <c:pt idx="87">
                  <c:v>43588</c:v>
                </c:pt>
                <c:pt idx="88">
                  <c:v>43620</c:v>
                </c:pt>
                <c:pt idx="89">
                  <c:v>43649</c:v>
                </c:pt>
                <c:pt idx="90">
                  <c:v>43679</c:v>
                </c:pt>
                <c:pt idx="91">
                  <c:v>43712</c:v>
                </c:pt>
                <c:pt idx="92">
                  <c:v>43741</c:v>
                </c:pt>
                <c:pt idx="93">
                  <c:v>43770</c:v>
                </c:pt>
                <c:pt idx="94">
                  <c:v>43803</c:v>
                </c:pt>
                <c:pt idx="95">
                  <c:v>43833</c:v>
                </c:pt>
                <c:pt idx="96">
                  <c:v>43864</c:v>
                </c:pt>
                <c:pt idx="97">
                  <c:v>43894</c:v>
                </c:pt>
                <c:pt idx="98">
                  <c:v>43923</c:v>
                </c:pt>
                <c:pt idx="99">
                  <c:v>43955</c:v>
                </c:pt>
                <c:pt idx="100">
                  <c:v>43985</c:v>
                </c:pt>
                <c:pt idx="101">
                  <c:v>44014</c:v>
                </c:pt>
                <c:pt idx="102">
                  <c:v>44043</c:v>
                </c:pt>
                <c:pt idx="103">
                  <c:v>44075</c:v>
                </c:pt>
                <c:pt idx="104">
                  <c:v>44105</c:v>
                </c:pt>
                <c:pt idx="105">
                  <c:v>44137</c:v>
                </c:pt>
                <c:pt idx="106">
                  <c:v>44168</c:v>
                </c:pt>
                <c:pt idx="107">
                  <c:v>44200</c:v>
                </c:pt>
                <c:pt idx="108">
                  <c:v>44229</c:v>
                </c:pt>
                <c:pt idx="109">
                  <c:v>44259</c:v>
                </c:pt>
                <c:pt idx="110">
                  <c:v>44288</c:v>
                </c:pt>
                <c:pt idx="111">
                  <c:v>44320</c:v>
                </c:pt>
                <c:pt idx="112">
                  <c:v>44350</c:v>
                </c:pt>
                <c:pt idx="113">
                  <c:v>44379</c:v>
                </c:pt>
                <c:pt idx="114">
                  <c:v>44411</c:v>
                </c:pt>
                <c:pt idx="115">
                  <c:v>44441</c:v>
                </c:pt>
                <c:pt idx="116">
                  <c:v>44473</c:v>
                </c:pt>
                <c:pt idx="117">
                  <c:v>44502</c:v>
                </c:pt>
                <c:pt idx="118">
                  <c:v>44533</c:v>
                </c:pt>
              </c:numCache>
            </c:numRef>
          </c:xVal>
          <c:yVal>
            <c:numRef>
              <c:f>'gas data'!$H$7:$H$125</c:f>
              <c:numCache>
                <c:formatCode>"$"#,##0.00_);[Red]\("$"#,##0.00\)</c:formatCode>
                <c:ptCount val="119"/>
                <c:pt idx="0">
                  <c:v>1.2238383838383837</c:v>
                </c:pt>
                <c:pt idx="1">
                  <c:v>1.1975949367088607</c:v>
                </c:pt>
                <c:pt idx="2">
                  <c:v>1.0174603174603174</c:v>
                </c:pt>
                <c:pt idx="3">
                  <c:v>1.194</c:v>
                </c:pt>
                <c:pt idx="4">
                  <c:v>1.0409999999999999</c:v>
                </c:pt>
                <c:pt idx="5">
                  <c:v>1.1633333333333333</c:v>
                </c:pt>
                <c:pt idx="6">
                  <c:v>1.2033333333333334</c:v>
                </c:pt>
                <c:pt idx="7">
                  <c:v>1.1866666666666665</c:v>
                </c:pt>
                <c:pt idx="8">
                  <c:v>1.1380000000000001</c:v>
                </c:pt>
                <c:pt idx="9">
                  <c:v>1.1200000000000001</c:v>
                </c:pt>
                <c:pt idx="10">
                  <c:v>1.1452542372881356</c:v>
                </c:pt>
                <c:pt idx="11">
                  <c:v>1.1940776699029125</c:v>
                </c:pt>
                <c:pt idx="12">
                  <c:v>1.1896031746031746</c:v>
                </c:pt>
                <c:pt idx="13">
                  <c:v>1.2068571428571429</c:v>
                </c:pt>
                <c:pt idx="14">
                  <c:v>1.05</c:v>
                </c:pt>
                <c:pt idx="15">
                  <c:v>1.2786206896551724</c:v>
                </c:pt>
                <c:pt idx="16">
                  <c:v>1.1983333333333335</c:v>
                </c:pt>
                <c:pt idx="17">
                  <c:v>1.145</c:v>
                </c:pt>
                <c:pt idx="18">
                  <c:v>1.1200000000000001</c:v>
                </c:pt>
                <c:pt idx="19">
                  <c:v>1.1028571428571428</c:v>
                </c:pt>
                <c:pt idx="20">
                  <c:v>1.0714285714285714</c:v>
                </c:pt>
                <c:pt idx="21">
                  <c:v>1.1595652173913045</c:v>
                </c:pt>
                <c:pt idx="22">
                  <c:v>1.1597142857142859</c:v>
                </c:pt>
                <c:pt idx="23">
                  <c:v>1.2584615384615385</c:v>
                </c:pt>
                <c:pt idx="24">
                  <c:v>1.2022222222222221</c:v>
                </c:pt>
                <c:pt idx="25">
                  <c:v>1.307536231884058</c:v>
                </c:pt>
                <c:pt idx="26">
                  <c:v>1.3402941176470589</c:v>
                </c:pt>
                <c:pt idx="27">
                  <c:v>1.3049999999999999</c:v>
                </c:pt>
                <c:pt idx="28">
                  <c:v>1.2746153846153847</c:v>
                </c:pt>
                <c:pt idx="29">
                  <c:v>1.2437499999999999</c:v>
                </c:pt>
                <c:pt idx="30">
                  <c:v>1.2888888888888888</c:v>
                </c:pt>
                <c:pt idx="31">
                  <c:v>1.2749999999999999</c:v>
                </c:pt>
                <c:pt idx="32">
                  <c:v>1.39375</c:v>
                </c:pt>
                <c:pt idx="33">
                  <c:v>1.3080000000000001</c:v>
                </c:pt>
                <c:pt idx="34">
                  <c:v>1.2645945945945947</c:v>
                </c:pt>
                <c:pt idx="35">
                  <c:v>1.3378181818181818</c:v>
                </c:pt>
                <c:pt idx="36">
                  <c:v>1.4206153846153846</c:v>
                </c:pt>
                <c:pt idx="37">
                  <c:v>1.3639130434782609</c:v>
                </c:pt>
                <c:pt idx="38">
                  <c:v>1.2961904761904761</c:v>
                </c:pt>
                <c:pt idx="39">
                  <c:v>1.2734999999999999</c:v>
                </c:pt>
                <c:pt idx="40">
                  <c:v>1.2183333333333333</c:v>
                </c:pt>
                <c:pt idx="41">
                  <c:v>1.2966666666666666</c:v>
                </c:pt>
                <c:pt idx="42">
                  <c:v>1.2371428571428571</c:v>
                </c:pt>
                <c:pt idx="43">
                  <c:v>1.3062499999999999</c:v>
                </c:pt>
                <c:pt idx="44">
                  <c:v>1.2285714285714284</c:v>
                </c:pt>
                <c:pt idx="45">
                  <c:v>1.2362500000000001</c:v>
                </c:pt>
                <c:pt idx="46">
                  <c:v>1.292295081967213</c:v>
                </c:pt>
                <c:pt idx="47">
                  <c:v>1.4495505617977527</c:v>
                </c:pt>
                <c:pt idx="48">
                  <c:v>1.409032258064516</c:v>
                </c:pt>
                <c:pt idx="49">
                  <c:v>1.3744736842105263</c:v>
                </c:pt>
                <c:pt idx="50">
                  <c:v>1.1324324324324324</c:v>
                </c:pt>
                <c:pt idx="51">
                  <c:v>1.2083333333333333</c:v>
                </c:pt>
                <c:pt idx="52">
                  <c:v>1.2354545454545454</c:v>
                </c:pt>
                <c:pt idx="53">
                  <c:v>1.1814285714285713</c:v>
                </c:pt>
                <c:pt idx="54">
                  <c:v>1.2562500000000001</c:v>
                </c:pt>
                <c:pt idx="55">
                  <c:v>1.4450000000000001</c:v>
                </c:pt>
                <c:pt idx="56">
                  <c:v>1.44</c:v>
                </c:pt>
                <c:pt idx="57">
                  <c:v>1.5249999999999999</c:v>
                </c:pt>
                <c:pt idx="58">
                  <c:v>1.5961702127659574</c:v>
                </c:pt>
                <c:pt idx="59">
                  <c:v>1.6993181818181817</c:v>
                </c:pt>
                <c:pt idx="60">
                  <c:v>1.6894186046511628</c:v>
                </c:pt>
                <c:pt idx="61">
                  <c:v>1.58</c:v>
                </c:pt>
                <c:pt idx="62">
                  <c:v>1.4819512195121951</c:v>
                </c:pt>
                <c:pt idx="63">
                  <c:v>1.6990000000000001</c:v>
                </c:pt>
                <c:pt idx="64">
                  <c:v>1.4457142857142855</c:v>
                </c:pt>
                <c:pt idx="65">
                  <c:v>1.4319999999999999</c:v>
                </c:pt>
                <c:pt idx="66">
                  <c:v>1.36</c:v>
                </c:pt>
                <c:pt idx="67">
                  <c:v>1.37</c:v>
                </c:pt>
                <c:pt idx="68">
                  <c:v>1.3162499999999999</c:v>
                </c:pt>
                <c:pt idx="69">
                  <c:v>1.358125</c:v>
                </c:pt>
                <c:pt idx="70">
                  <c:v>1.385892857142857</c:v>
                </c:pt>
                <c:pt idx="71">
                  <c:v>1.6470754716981133</c:v>
                </c:pt>
                <c:pt idx="72">
                  <c:v>1.5801333333333334</c:v>
                </c:pt>
                <c:pt idx="73">
                  <c:v>1.5875675675675676</c:v>
                </c:pt>
                <c:pt idx="74">
                  <c:v>1.44015625</c:v>
                </c:pt>
                <c:pt idx="75">
                  <c:v>1.6712499999999999</c:v>
                </c:pt>
                <c:pt idx="76">
                  <c:v>1.3333333333333333</c:v>
                </c:pt>
                <c:pt idx="77">
                  <c:v>1.2790909090909091</c:v>
                </c:pt>
                <c:pt idx="78">
                  <c:v>1.31</c:v>
                </c:pt>
                <c:pt idx="79">
                  <c:v>1.3722222222222222</c:v>
                </c:pt>
                <c:pt idx="80">
                  <c:v>1.34</c:v>
                </c:pt>
                <c:pt idx="81">
                  <c:v>1.3611111111111112</c:v>
                </c:pt>
                <c:pt idx="82">
                  <c:v>1.448</c:v>
                </c:pt>
                <c:pt idx="83">
                  <c:v>1.6215068493150686</c:v>
                </c:pt>
                <c:pt idx="84">
                  <c:v>1.6275409836065573</c:v>
                </c:pt>
                <c:pt idx="85">
                  <c:v>1.7694186046511626</c:v>
                </c:pt>
                <c:pt idx="86">
                  <c:v>1.5756249999999998</c:v>
                </c:pt>
                <c:pt idx="87">
                  <c:v>1.4570588235294117</c:v>
                </c:pt>
                <c:pt idx="88">
                  <c:v>1.4804347826086954</c:v>
                </c:pt>
                <c:pt idx="89">
                  <c:v>1.3657142857142859</c:v>
                </c:pt>
                <c:pt idx="90">
                  <c:v>1.4359999999999999</c:v>
                </c:pt>
                <c:pt idx="91">
                  <c:v>1.4145454545454546</c:v>
                </c:pt>
                <c:pt idx="92">
                  <c:v>1.3787499999999999</c:v>
                </c:pt>
                <c:pt idx="93">
                  <c:v>1.42</c:v>
                </c:pt>
                <c:pt idx="94">
                  <c:v>1.4732692307692308</c:v>
                </c:pt>
                <c:pt idx="95">
                  <c:v>1.5316393442622951</c:v>
                </c:pt>
                <c:pt idx="96">
                  <c:v>1.6671794871794872</c:v>
                </c:pt>
                <c:pt idx="97">
                  <c:v>1.5590697674418605</c:v>
                </c:pt>
                <c:pt idx="98">
                  <c:v>1.722280701754386</c:v>
                </c:pt>
                <c:pt idx="99">
                  <c:v>1.6763999999999999</c:v>
                </c:pt>
                <c:pt idx="100">
                  <c:v>1.4692307692307693</c:v>
                </c:pt>
                <c:pt idx="101">
                  <c:v>1.482</c:v>
                </c:pt>
                <c:pt idx="102">
                  <c:v>1.4755555555555555</c:v>
                </c:pt>
                <c:pt idx="103">
                  <c:v>1.5261538461538462</c:v>
                </c:pt>
                <c:pt idx="104">
                  <c:v>1.6641666666666666</c:v>
                </c:pt>
                <c:pt idx="105">
                  <c:v>1.6327272727272728</c:v>
                </c:pt>
                <c:pt idx="106">
                  <c:v>1.8469696969696972</c:v>
                </c:pt>
                <c:pt idx="107">
                  <c:v>1.7912987012987014</c:v>
                </c:pt>
                <c:pt idx="108">
                  <c:v>1.8066666666666669</c:v>
                </c:pt>
                <c:pt idx="109">
                  <c:v>1.8529508196721312</c:v>
                </c:pt>
                <c:pt idx="110">
                  <c:v>1.8396078431372547</c:v>
                </c:pt>
                <c:pt idx="111">
                  <c:v>1.7370833333333333</c:v>
                </c:pt>
                <c:pt idx="112">
                  <c:v>1.5514285714285714</c:v>
                </c:pt>
                <c:pt idx="113">
                  <c:v>1.5566666666666666</c:v>
                </c:pt>
                <c:pt idx="114">
                  <c:v>1.5333333333333334</c:v>
                </c:pt>
                <c:pt idx="115">
                  <c:v>1.5825</c:v>
                </c:pt>
                <c:pt idx="116">
                  <c:v>1.8272727272727274</c:v>
                </c:pt>
                <c:pt idx="117">
                  <c:v>2.1323529411764706</c:v>
                </c:pt>
                <c:pt idx="118">
                  <c:v>2.1842222222222225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F05-441C-9077-AF999EA61B9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26048607"/>
        <c:axId val="926049855"/>
      </c:scatterChart>
      <c:valAx>
        <c:axId val="926048607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49855"/>
        <c:crosses val="autoZero"/>
        <c:crossBetween val="midCat"/>
      </c:valAx>
      <c:valAx>
        <c:axId val="9260498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.00_);[Red]\(&quot;$&quot;#,##0.00\)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26048607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Estimated</a:t>
            </a:r>
            <a:r>
              <a:rPr lang="en-US" baseline="0"/>
              <a:t> average daily electric use after heat pump installed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added space heat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data'!$AF$7:$AF$18</c:f>
              <c:numCache>
                <c:formatCode>0.0</c:formatCode>
                <c:ptCount val="12"/>
                <c:pt idx="0">
                  <c:v>24.32780534877309</c:v>
                </c:pt>
                <c:pt idx="1">
                  <c:v>22.316844414189543</c:v>
                </c:pt>
                <c:pt idx="2">
                  <c:v>12.81622553074166</c:v>
                </c:pt>
                <c:pt idx="3">
                  <c:v>6.026951566951567</c:v>
                </c:pt>
                <c:pt idx="4">
                  <c:v>1.4965053763440861</c:v>
                </c:pt>
                <c:pt idx="5">
                  <c:v>-0.19825498575498565</c:v>
                </c:pt>
                <c:pt idx="6">
                  <c:v>-0.2302315963606284</c:v>
                </c:pt>
                <c:pt idx="7">
                  <c:v>0.26860352908740032</c:v>
                </c:pt>
                <c:pt idx="8">
                  <c:v>7.9301994301994E-2</c:v>
                </c:pt>
                <c:pt idx="9">
                  <c:v>1.5732492417976287</c:v>
                </c:pt>
                <c:pt idx="10">
                  <c:v>16.930975783475784</c:v>
                </c:pt>
                <c:pt idx="11">
                  <c:v>26.399889716018741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5BF-4A57-AD91-26B11F35492D}"/>
            </c:ext>
          </c:extLst>
        </c:ser>
        <c:ser>
          <c:idx val="1"/>
          <c:order val="1"/>
          <c:tx>
            <c:v>added water heat</c:v>
          </c:tx>
          <c:spPr>
            <a:ln w="28575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data'!$AG$7:$AG$18</c:f>
              <c:numCache>
                <c:formatCode>0.0</c:formatCode>
                <c:ptCount val="12"/>
                <c:pt idx="0">
                  <c:v>3.1081265508684863</c:v>
                </c:pt>
                <c:pt idx="1">
                  <c:v>3.4106875425459493</c:v>
                </c:pt>
                <c:pt idx="2">
                  <c:v>3.1081265508684863</c:v>
                </c:pt>
                <c:pt idx="3">
                  <c:v>3.2117307692307691</c:v>
                </c:pt>
                <c:pt idx="4">
                  <c:v>3.1081265508684863</c:v>
                </c:pt>
                <c:pt idx="5">
                  <c:v>3.2117307692307691</c:v>
                </c:pt>
                <c:pt idx="6">
                  <c:v>3.1081265508684863</c:v>
                </c:pt>
                <c:pt idx="7">
                  <c:v>3.1081265508684863</c:v>
                </c:pt>
                <c:pt idx="8">
                  <c:v>3.2117307692307691</c:v>
                </c:pt>
                <c:pt idx="9">
                  <c:v>3.1081265508684863</c:v>
                </c:pt>
                <c:pt idx="10">
                  <c:v>3.2117307692307691</c:v>
                </c:pt>
                <c:pt idx="11">
                  <c:v>3.1081265508684863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5BF-4A57-AD91-26B11F35492D}"/>
            </c:ext>
          </c:extLst>
        </c:ser>
        <c:ser>
          <c:idx val="2"/>
          <c:order val="2"/>
          <c:tx>
            <c:v>everything else</c:v>
          </c:tx>
          <c:spPr>
            <a:ln w="28575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data'!$AH$7:$AH$18</c:f>
              <c:numCache>
                <c:formatCode>0.0</c:formatCode>
                <c:ptCount val="12"/>
                <c:pt idx="0">
                  <c:v>21.247741935483869</c:v>
                </c:pt>
                <c:pt idx="1">
                  <c:v>17.493923303834809</c:v>
                </c:pt>
                <c:pt idx="2">
                  <c:v>16.614193548387099</c:v>
                </c:pt>
                <c:pt idx="3">
                  <c:v>15.624444444444444</c:v>
                </c:pt>
                <c:pt idx="4">
                  <c:v>14.876129032258065</c:v>
                </c:pt>
                <c:pt idx="5">
                  <c:v>14.374777777777778</c:v>
                </c:pt>
                <c:pt idx="6">
                  <c:v>12.475725806451614</c:v>
                </c:pt>
                <c:pt idx="7">
                  <c:v>14.184435483870967</c:v>
                </c:pt>
                <c:pt idx="8">
                  <c:v>17.044500000000003</c:v>
                </c:pt>
                <c:pt idx="9">
                  <c:v>13.478064516129033</c:v>
                </c:pt>
                <c:pt idx="10">
                  <c:v>21.511222222222223</c:v>
                </c:pt>
                <c:pt idx="11">
                  <c:v>20.350806451612904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5BF-4A57-AD91-26B11F35492D}"/>
            </c:ext>
          </c:extLst>
        </c:ser>
        <c:ser>
          <c:idx val="3"/>
          <c:order val="3"/>
          <c:tx>
            <c:v>total</c:v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data'!$AI$7:$AI$18</c:f>
              <c:numCache>
                <c:formatCode>0.0</c:formatCode>
                <c:ptCount val="12"/>
                <c:pt idx="0">
                  <c:v>48.683673835125454</c:v>
                </c:pt>
                <c:pt idx="1">
                  <c:v>43.221455260570302</c:v>
                </c:pt>
                <c:pt idx="2">
                  <c:v>32.538545629997245</c:v>
                </c:pt>
                <c:pt idx="3">
                  <c:v>24.863126780626779</c:v>
                </c:pt>
                <c:pt idx="4">
                  <c:v>19.480760959470636</c:v>
                </c:pt>
                <c:pt idx="5">
                  <c:v>17.388253561253563</c:v>
                </c:pt>
                <c:pt idx="6">
                  <c:v>15.353620760959471</c:v>
                </c:pt>
                <c:pt idx="7">
                  <c:v>17.561165563826854</c:v>
                </c:pt>
                <c:pt idx="8">
                  <c:v>20.335532763532765</c:v>
                </c:pt>
                <c:pt idx="9">
                  <c:v>18.159440308795148</c:v>
                </c:pt>
                <c:pt idx="10">
                  <c:v>41.653928774928772</c:v>
                </c:pt>
                <c:pt idx="11">
                  <c:v>49.858822718500129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5BF-4A57-AD91-26B11F3549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12703232"/>
        <c:axId val="112704480"/>
      </c:lineChart>
      <c:catAx>
        <c:axId val="11270323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04480"/>
        <c:crosses val="autoZero"/>
        <c:auto val="1"/>
        <c:lblAlgn val="ctr"/>
        <c:lblOffset val="100"/>
        <c:noMultiLvlLbl val="0"/>
      </c:catAx>
      <c:valAx>
        <c:axId val="112704480"/>
        <c:scaling>
          <c:orientation val="minMax"/>
          <c:max val="5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kWh/day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270323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2400" u="sng"/>
              <a:t>Phase 2 Estimated Average Daily Energy Flow</a:t>
            </a:r>
          </a:p>
        </c:rich>
      </c:tx>
      <c:layout>
        <c:manualLayout>
          <c:xMode val="edge"/>
          <c:yMode val="edge"/>
          <c:x val="0.30360257821739839"/>
          <c:y val="1.101764716145690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PV directly to loads via batteries</c:v>
          </c:tx>
          <c:spPr>
            <a:ln w="1905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data'!$BW$7:$BW$18</c:f>
              <c:numCache>
                <c:formatCode>0.0</c:formatCode>
                <c:ptCount val="12"/>
                <c:pt idx="0">
                  <c:v>15.360000000000003</c:v>
                </c:pt>
                <c:pt idx="1">
                  <c:v>15.360000000000003</c:v>
                </c:pt>
                <c:pt idx="2">
                  <c:v>15.360000000000003</c:v>
                </c:pt>
                <c:pt idx="3">
                  <c:v>15.360000000000003</c:v>
                </c:pt>
                <c:pt idx="4">
                  <c:v>15.360000000000003</c:v>
                </c:pt>
                <c:pt idx="5">
                  <c:v>15.360000000000003</c:v>
                </c:pt>
                <c:pt idx="6">
                  <c:v>15.353620760959471</c:v>
                </c:pt>
                <c:pt idx="7">
                  <c:v>15.360000000000003</c:v>
                </c:pt>
                <c:pt idx="8">
                  <c:v>15.360000000000003</c:v>
                </c:pt>
                <c:pt idx="9">
                  <c:v>15.360000000000003</c:v>
                </c:pt>
                <c:pt idx="10">
                  <c:v>15.360000000000003</c:v>
                </c:pt>
                <c:pt idx="11">
                  <c:v>15.360000000000003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231-40D7-BFA2-060DB0582789}"/>
            </c:ext>
          </c:extLst>
        </c:ser>
        <c:ser>
          <c:idx val="4"/>
          <c:order val="1"/>
          <c:tx>
            <c:v>excess PV to grid</c:v>
          </c:tx>
          <c:spPr>
            <a:ln w="1905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data'!$BY$7:$BY$18</c:f>
              <c:numCache>
                <c:formatCode>0.0</c:formatCode>
                <c:ptCount val="12"/>
                <c:pt idx="0">
                  <c:v>3.8974029473684197</c:v>
                </c:pt>
                <c:pt idx="1">
                  <c:v>9.6638740270144332</c:v>
                </c:pt>
                <c:pt idx="2">
                  <c:v>18.98935546349745</c:v>
                </c:pt>
                <c:pt idx="3">
                  <c:v>46.73969734736842</c:v>
                </c:pt>
                <c:pt idx="4">
                  <c:v>61.30133068930391</c:v>
                </c:pt>
                <c:pt idx="5">
                  <c:v>64.658126147368421</c:v>
                </c:pt>
                <c:pt idx="6">
                  <c:v>61.784992258412792</c:v>
                </c:pt>
                <c:pt idx="7">
                  <c:v>53.3635768828523</c:v>
                </c:pt>
                <c:pt idx="8">
                  <c:v>41.283201347368419</c:v>
                </c:pt>
                <c:pt idx="9">
                  <c:v>21.578494044142619</c:v>
                </c:pt>
                <c:pt idx="10">
                  <c:v>9.1074765473684209</c:v>
                </c:pt>
                <c:pt idx="11">
                  <c:v>0.45657404414261293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31-40D7-BFA2-060DB0582789}"/>
            </c:ext>
          </c:extLst>
        </c:ser>
        <c:ser>
          <c:idx val="5"/>
          <c:order val="2"/>
          <c:tx>
            <c:v>total PV generation</c:v>
          </c:tx>
          <c:spPr>
            <a:ln w="19050" cap="rnd">
              <a:solidFill>
                <a:srgbClr val="92D05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data'!$BA$7:$BA$18</c:f>
              <c:numCache>
                <c:formatCode>0.0</c:formatCode>
                <c:ptCount val="12"/>
                <c:pt idx="0">
                  <c:v>20.065824000000003</c:v>
                </c:pt>
                <c:pt idx="1">
                  <c:v>25.832295079646016</c:v>
                </c:pt>
                <c:pt idx="2">
                  <c:v>35.157776516129033</c:v>
                </c:pt>
                <c:pt idx="3">
                  <c:v>62.908118400000006</c:v>
                </c:pt>
                <c:pt idx="4">
                  <c:v>77.469751741935497</c:v>
                </c:pt>
                <c:pt idx="5">
                  <c:v>80.826547200000007</c:v>
                </c:pt>
                <c:pt idx="6">
                  <c:v>77.946698322580659</c:v>
                </c:pt>
                <c:pt idx="7">
                  <c:v>69.531997935483886</c:v>
                </c:pt>
                <c:pt idx="8">
                  <c:v>57.451622400000005</c:v>
                </c:pt>
                <c:pt idx="9">
                  <c:v>37.746915096774202</c:v>
                </c:pt>
                <c:pt idx="10">
                  <c:v>25.275897600000004</c:v>
                </c:pt>
                <c:pt idx="11">
                  <c:v>16.624995096774196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231-40D7-BFA2-060DB0582789}"/>
            </c:ext>
          </c:extLst>
        </c:ser>
        <c:ser>
          <c:idx val="3"/>
          <c:order val="3"/>
          <c:tx>
            <c:v>grid to loads</c:v>
          </c:tx>
          <c:spPr>
            <a:ln w="1905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strRef>
              <c:f>'scenario data'!$A$7:$A$18</c:f>
              <c:strCache>
                <c:ptCount val="12"/>
                <c:pt idx="0">
                  <c:v>Jan</c:v>
                </c:pt>
                <c:pt idx="1">
                  <c:v>Feb</c:v>
                </c:pt>
                <c:pt idx="2">
                  <c:v>Mar</c:v>
                </c:pt>
                <c:pt idx="3">
                  <c:v>Apr</c:v>
                </c:pt>
                <c:pt idx="4">
                  <c:v>May</c:v>
                </c:pt>
                <c:pt idx="5">
                  <c:v>Jun</c:v>
                </c:pt>
                <c:pt idx="6">
                  <c:v>Jul</c:v>
                </c:pt>
                <c:pt idx="7">
                  <c:v>Aug</c:v>
                </c:pt>
                <c:pt idx="8">
                  <c:v>Sep</c:v>
                </c:pt>
                <c:pt idx="9">
                  <c:v>Oct</c:v>
                </c:pt>
                <c:pt idx="10">
                  <c:v>Nov</c:v>
                </c:pt>
                <c:pt idx="11">
                  <c:v>Dec</c:v>
                </c:pt>
              </c:strCache>
            </c:strRef>
          </c:cat>
          <c:val>
            <c:numRef>
              <c:f>'scenario data'!$BZ$7:$BZ$18</c:f>
              <c:numCache>
                <c:formatCode>0.0</c:formatCode>
                <c:ptCount val="12"/>
                <c:pt idx="0">
                  <c:v>33.323673835125447</c:v>
                </c:pt>
                <c:pt idx="1">
                  <c:v>27.861455260570299</c:v>
                </c:pt>
                <c:pt idx="2">
                  <c:v>17.178545629997242</c:v>
                </c:pt>
                <c:pt idx="3">
                  <c:v>9.5031267806267756</c:v>
                </c:pt>
                <c:pt idx="4">
                  <c:v>4.1207609594706334</c:v>
                </c:pt>
                <c:pt idx="5">
                  <c:v>2.0282535612535604</c:v>
                </c:pt>
                <c:pt idx="6">
                  <c:v>0</c:v>
                </c:pt>
                <c:pt idx="7">
                  <c:v>2.2011655638268515</c:v>
                </c:pt>
                <c:pt idx="8">
                  <c:v>4.9755327635327617</c:v>
                </c:pt>
                <c:pt idx="9">
                  <c:v>2.7994403087951447</c:v>
                </c:pt>
                <c:pt idx="10">
                  <c:v>26.293928774928769</c:v>
                </c:pt>
                <c:pt idx="11">
                  <c:v>34.498822718500122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231-40D7-BFA2-060DB0582789}"/>
            </c:ext>
          </c:extLst>
        </c:ser>
        <c:ser>
          <c:idx val="2"/>
          <c:order val="4"/>
          <c:tx>
            <c:v>total loads</c:v>
          </c:tx>
          <c:spPr>
            <a:ln w="19050" cap="rnd">
              <a:solidFill>
                <a:srgbClr val="C00000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data'!$AI$7:$AI$18</c:f>
              <c:numCache>
                <c:formatCode>0.0</c:formatCode>
                <c:ptCount val="12"/>
                <c:pt idx="0">
                  <c:v>48.683673835125454</c:v>
                </c:pt>
                <c:pt idx="1">
                  <c:v>43.221455260570302</c:v>
                </c:pt>
                <c:pt idx="2">
                  <c:v>32.538545629997245</c:v>
                </c:pt>
                <c:pt idx="3">
                  <c:v>24.863126780626779</c:v>
                </c:pt>
                <c:pt idx="4">
                  <c:v>19.480760959470636</c:v>
                </c:pt>
                <c:pt idx="5">
                  <c:v>17.388253561253563</c:v>
                </c:pt>
                <c:pt idx="6">
                  <c:v>15.353620760959471</c:v>
                </c:pt>
                <c:pt idx="7">
                  <c:v>17.561165563826854</c:v>
                </c:pt>
                <c:pt idx="8">
                  <c:v>20.335532763532765</c:v>
                </c:pt>
                <c:pt idx="9">
                  <c:v>18.159440308795148</c:v>
                </c:pt>
                <c:pt idx="10">
                  <c:v>41.653928774928772</c:v>
                </c:pt>
                <c:pt idx="11">
                  <c:v>49.858822718500129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231-40D7-BFA2-060DB0582789}"/>
            </c:ext>
          </c:extLst>
        </c:ser>
        <c:ser>
          <c:idx val="1"/>
          <c:order val="5"/>
          <c:tx>
            <c:v>usable battery capacity</c:v>
          </c:tx>
          <c:spPr>
            <a:ln w="19050" cap="rnd">
              <a:solidFill>
                <a:schemeClr val="tx1"/>
              </a:solidFill>
              <a:prstDash val="sysDash"/>
              <a:round/>
            </a:ln>
            <a:effectLst/>
          </c:spPr>
          <c:marker>
            <c:symbol val="none"/>
          </c:marker>
          <c:val>
            <c:numRef>
              <c:f>'scenario data'!$BQ$7:$BQ$18</c:f>
              <c:numCache>
                <c:formatCode>0.0</c:formatCode>
                <c:ptCount val="12"/>
                <c:pt idx="0">
                  <c:v>15.360000000000003</c:v>
                </c:pt>
                <c:pt idx="1">
                  <c:v>15.360000000000003</c:v>
                </c:pt>
                <c:pt idx="2">
                  <c:v>15.360000000000003</c:v>
                </c:pt>
                <c:pt idx="3">
                  <c:v>15.360000000000003</c:v>
                </c:pt>
                <c:pt idx="4">
                  <c:v>15.360000000000003</c:v>
                </c:pt>
                <c:pt idx="5">
                  <c:v>15.360000000000003</c:v>
                </c:pt>
                <c:pt idx="6">
                  <c:v>15.360000000000003</c:v>
                </c:pt>
                <c:pt idx="7">
                  <c:v>15.360000000000003</c:v>
                </c:pt>
                <c:pt idx="8">
                  <c:v>15.360000000000003</c:v>
                </c:pt>
                <c:pt idx="9">
                  <c:v>15.360000000000003</c:v>
                </c:pt>
                <c:pt idx="10">
                  <c:v>15.360000000000003</c:v>
                </c:pt>
                <c:pt idx="11">
                  <c:v>15.360000000000003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A231-40D7-BFA2-060DB058278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46523472"/>
        <c:axId val="2046524720"/>
      </c:lineChart>
      <c:catAx>
        <c:axId val="204652347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Month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524720"/>
        <c:crosses val="autoZero"/>
        <c:auto val="1"/>
        <c:lblAlgn val="ctr"/>
        <c:lblOffset val="100"/>
        <c:noMultiLvlLbl val="0"/>
      </c:catAx>
      <c:valAx>
        <c:axId val="2046524720"/>
        <c:scaling>
          <c:orientation val="minMax"/>
          <c:max val="85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Average daily energy, kWh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46523472"/>
        <c:crosses val="autoZero"/>
        <c:crossBetween val="between"/>
        <c:majorUnit val="5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u="sng"/>
              <a:t>Overnight Use Solar Battery System Sizing</a:t>
            </a:r>
          </a:p>
          <a:p>
            <a:pPr>
              <a:defRPr/>
            </a:pPr>
            <a:r>
              <a:rPr lang="en-US" sz="1000"/>
              <a:t>Assumptions:</a:t>
            </a:r>
            <a:r>
              <a:rPr lang="en-US" sz="1000" baseline="0"/>
              <a:t> 1.) all energy used when sun is down; 2.) batteries only charged by solar; 3.) add batteries until no improvement</a:t>
            </a:r>
            <a:r>
              <a:rPr lang="en-US" sz="1000"/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'sizing data'!$B$3</c:f>
              <c:strCache>
                <c:ptCount val="1"/>
                <c:pt idx="0">
                  <c:v>number of batteries</c:v>
                </c:pt>
              </c:strCache>
            </c:strRef>
          </c:tx>
          <c:spPr>
            <a:ln w="127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data'!$B$4:$B$61</c:f>
              <c:numCache>
                <c:formatCode>General</c:formatCode>
                <c:ptCount val="58"/>
                <c:pt idx="0">
                  <c:v>1</c:v>
                </c:pt>
                <c:pt idx="1">
                  <c:v>3</c:v>
                </c:pt>
                <c:pt idx="2">
                  <c:v>4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9</c:v>
                </c:pt>
                <c:pt idx="13">
                  <c:v>10</c:v>
                </c:pt>
                <c:pt idx="14">
                  <c:v>11</c:v>
                </c:pt>
                <c:pt idx="15">
                  <c:v>9</c:v>
                </c:pt>
                <c:pt idx="16">
                  <c:v>10</c:v>
                </c:pt>
                <c:pt idx="17">
                  <c:v>10</c:v>
                </c:pt>
                <c:pt idx="18">
                  <c:v>10</c:v>
                </c:pt>
                <c:pt idx="19">
                  <c:v>10</c:v>
                </c:pt>
                <c:pt idx="20">
                  <c:v>10</c:v>
                </c:pt>
                <c:pt idx="21">
                  <c:v>11</c:v>
                </c:pt>
                <c:pt idx="22">
                  <c:v>12</c:v>
                </c:pt>
                <c:pt idx="23">
                  <c:v>12</c:v>
                </c:pt>
                <c:pt idx="24">
                  <c:v>12</c:v>
                </c:pt>
                <c:pt idx="25">
                  <c:v>13</c:v>
                </c:pt>
                <c:pt idx="26">
                  <c:v>13</c:v>
                </c:pt>
                <c:pt idx="27">
                  <c:v>13</c:v>
                </c:pt>
                <c:pt idx="28">
                  <c:v>14</c:v>
                </c:pt>
                <c:pt idx="29">
                  <c:v>14</c:v>
                </c:pt>
                <c:pt idx="30">
                  <c:v>14</c:v>
                </c:pt>
                <c:pt idx="31">
                  <c:v>14</c:v>
                </c:pt>
                <c:pt idx="32">
                  <c:v>14</c:v>
                </c:pt>
                <c:pt idx="33">
                  <c:v>14</c:v>
                </c:pt>
                <c:pt idx="34">
                  <c:v>15</c:v>
                </c:pt>
                <c:pt idx="35">
                  <c:v>15</c:v>
                </c:pt>
                <c:pt idx="36">
                  <c:v>15</c:v>
                </c:pt>
                <c:pt idx="37">
                  <c:v>15</c:v>
                </c:pt>
                <c:pt idx="38">
                  <c:v>15</c:v>
                </c:pt>
                <c:pt idx="39">
                  <c:v>15</c:v>
                </c:pt>
                <c:pt idx="40">
                  <c:v>16</c:v>
                </c:pt>
                <c:pt idx="41">
                  <c:v>16</c:v>
                </c:pt>
                <c:pt idx="42">
                  <c:v>17</c:v>
                </c:pt>
                <c:pt idx="43">
                  <c:v>17</c:v>
                </c:pt>
                <c:pt idx="44">
                  <c:v>18</c:v>
                </c:pt>
                <c:pt idx="45">
                  <c:v>18</c:v>
                </c:pt>
                <c:pt idx="46">
                  <c:v>19</c:v>
                </c:pt>
                <c:pt idx="47">
                  <c:v>19</c:v>
                </c:pt>
                <c:pt idx="48">
                  <c:v>19</c:v>
                </c:pt>
                <c:pt idx="49">
                  <c:v>19</c:v>
                </c:pt>
                <c:pt idx="50">
                  <c:v>19</c:v>
                </c:pt>
                <c:pt idx="51">
                  <c:v>19</c:v>
                </c:pt>
                <c:pt idx="52">
                  <c:v>19</c:v>
                </c:pt>
                <c:pt idx="53">
                  <c:v>20</c:v>
                </c:pt>
                <c:pt idx="54">
                  <c:v>20</c:v>
                </c:pt>
                <c:pt idx="55">
                  <c:v>20</c:v>
                </c:pt>
                <c:pt idx="56">
                  <c:v>21</c:v>
                </c:pt>
                <c:pt idx="57">
                  <c:v>22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D7D-436D-92DF-E3171A09696C}"/>
            </c:ext>
          </c:extLst>
        </c:ser>
        <c:ser>
          <c:idx val="1"/>
          <c:order val="1"/>
          <c:tx>
            <c:strRef>
              <c:f>'sizing data'!$C$3</c:f>
              <c:strCache>
                <c:ptCount val="1"/>
                <c:pt idx="0">
                  <c:v>number of Sol-Ark 12ks</c:v>
                </c:pt>
              </c:strCache>
            </c:strRef>
          </c:tx>
          <c:spPr>
            <a:ln w="12700" cap="rnd">
              <a:solidFill>
                <a:srgbClr val="00B0F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data'!$C$4:$C$61</c:f>
              <c:numCache>
                <c:formatCode>General</c:formatCode>
                <c:ptCount val="58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2</c:v>
                </c:pt>
                <c:pt idx="35">
                  <c:v>2</c:v>
                </c:pt>
                <c:pt idx="36">
                  <c:v>2</c:v>
                </c:pt>
                <c:pt idx="37">
                  <c:v>2</c:v>
                </c:pt>
                <c:pt idx="38">
                  <c:v>2</c:v>
                </c:pt>
                <c:pt idx="39">
                  <c:v>2</c:v>
                </c:pt>
                <c:pt idx="40">
                  <c:v>2</c:v>
                </c:pt>
                <c:pt idx="41">
                  <c:v>2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2</c:v>
                </c:pt>
                <c:pt idx="49">
                  <c:v>2</c:v>
                </c:pt>
                <c:pt idx="50">
                  <c:v>2</c:v>
                </c:pt>
                <c:pt idx="51">
                  <c:v>2</c:v>
                </c:pt>
                <c:pt idx="52">
                  <c:v>2</c:v>
                </c:pt>
                <c:pt idx="53">
                  <c:v>3</c:v>
                </c:pt>
                <c:pt idx="54">
                  <c:v>3</c:v>
                </c:pt>
                <c:pt idx="55">
                  <c:v>3</c:v>
                </c:pt>
                <c:pt idx="56">
                  <c:v>3</c:v>
                </c:pt>
                <c:pt idx="57">
                  <c:v>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D7D-436D-92DF-E3171A09696C}"/>
            </c:ext>
          </c:extLst>
        </c:ser>
        <c:ser>
          <c:idx val="2"/>
          <c:order val="2"/>
          <c:tx>
            <c:strRef>
              <c:f>'sizing data'!$E$3</c:f>
              <c:strCache>
                <c:ptCount val="1"/>
                <c:pt idx="0">
                  <c:v>energy from batts, %</c:v>
                </c:pt>
              </c:strCache>
            </c:strRef>
          </c:tx>
          <c:spPr>
            <a:ln w="12700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data'!$E$4:$E$61</c:f>
              <c:numCache>
                <c:formatCode>0</c:formatCode>
                <c:ptCount val="58"/>
                <c:pt idx="0">
                  <c:v>5</c:v>
                </c:pt>
                <c:pt idx="1">
                  <c:v>11</c:v>
                </c:pt>
                <c:pt idx="2">
                  <c:v>16</c:v>
                </c:pt>
                <c:pt idx="3">
                  <c:v>21</c:v>
                </c:pt>
                <c:pt idx="4">
                  <c:v>26</c:v>
                </c:pt>
                <c:pt idx="5">
                  <c:v>32</c:v>
                </c:pt>
                <c:pt idx="6">
                  <c:v>36</c:v>
                </c:pt>
                <c:pt idx="7">
                  <c:v>40</c:v>
                </c:pt>
                <c:pt idx="8">
                  <c:v>43</c:v>
                </c:pt>
                <c:pt idx="9">
                  <c:v>45</c:v>
                </c:pt>
                <c:pt idx="10">
                  <c:v>48</c:v>
                </c:pt>
                <c:pt idx="11">
                  <c:v>50</c:v>
                </c:pt>
                <c:pt idx="12">
                  <c:v>51</c:v>
                </c:pt>
                <c:pt idx="13">
                  <c:v>53</c:v>
                </c:pt>
                <c:pt idx="14">
                  <c:v>55.000000000000007</c:v>
                </c:pt>
                <c:pt idx="15">
                  <c:v>56.000000000000007</c:v>
                </c:pt>
                <c:pt idx="16">
                  <c:v>57.999999999999993</c:v>
                </c:pt>
                <c:pt idx="17">
                  <c:v>59</c:v>
                </c:pt>
                <c:pt idx="18">
                  <c:v>60</c:v>
                </c:pt>
                <c:pt idx="19">
                  <c:v>61</c:v>
                </c:pt>
                <c:pt idx="20">
                  <c:v>62</c:v>
                </c:pt>
                <c:pt idx="21">
                  <c:v>64</c:v>
                </c:pt>
                <c:pt idx="22">
                  <c:v>65</c:v>
                </c:pt>
                <c:pt idx="23">
                  <c:v>66</c:v>
                </c:pt>
                <c:pt idx="24">
                  <c:v>67</c:v>
                </c:pt>
                <c:pt idx="25">
                  <c:v>68</c:v>
                </c:pt>
                <c:pt idx="26">
                  <c:v>69</c:v>
                </c:pt>
                <c:pt idx="27">
                  <c:v>70</c:v>
                </c:pt>
                <c:pt idx="28">
                  <c:v>71</c:v>
                </c:pt>
                <c:pt idx="29">
                  <c:v>72</c:v>
                </c:pt>
                <c:pt idx="30">
                  <c:v>73</c:v>
                </c:pt>
                <c:pt idx="31">
                  <c:v>74</c:v>
                </c:pt>
                <c:pt idx="32">
                  <c:v>75</c:v>
                </c:pt>
                <c:pt idx="33">
                  <c:v>76</c:v>
                </c:pt>
                <c:pt idx="34">
                  <c:v>77</c:v>
                </c:pt>
                <c:pt idx="35">
                  <c:v>78</c:v>
                </c:pt>
                <c:pt idx="36">
                  <c:v>79</c:v>
                </c:pt>
                <c:pt idx="37">
                  <c:v>80</c:v>
                </c:pt>
                <c:pt idx="38">
                  <c:v>81</c:v>
                </c:pt>
                <c:pt idx="39">
                  <c:v>82</c:v>
                </c:pt>
                <c:pt idx="40">
                  <c:v>83</c:v>
                </c:pt>
                <c:pt idx="41">
                  <c:v>84</c:v>
                </c:pt>
                <c:pt idx="42">
                  <c:v>85</c:v>
                </c:pt>
                <c:pt idx="43">
                  <c:v>86</c:v>
                </c:pt>
                <c:pt idx="44">
                  <c:v>87</c:v>
                </c:pt>
                <c:pt idx="45">
                  <c:v>88</c:v>
                </c:pt>
                <c:pt idx="46">
                  <c:v>89</c:v>
                </c:pt>
                <c:pt idx="47">
                  <c:v>90</c:v>
                </c:pt>
                <c:pt idx="48">
                  <c:v>90.999999999999986</c:v>
                </c:pt>
                <c:pt idx="49">
                  <c:v>92</c:v>
                </c:pt>
                <c:pt idx="50">
                  <c:v>93</c:v>
                </c:pt>
                <c:pt idx="51">
                  <c:v>94</c:v>
                </c:pt>
                <c:pt idx="52">
                  <c:v>95</c:v>
                </c:pt>
                <c:pt idx="53">
                  <c:v>96</c:v>
                </c:pt>
                <c:pt idx="54">
                  <c:v>97</c:v>
                </c:pt>
                <c:pt idx="55">
                  <c:v>98</c:v>
                </c:pt>
                <c:pt idx="56">
                  <c:v>99</c:v>
                </c:pt>
                <c:pt idx="57">
                  <c:v>100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D7D-436D-92DF-E3171A09696C}"/>
            </c:ext>
          </c:extLst>
        </c:ser>
        <c:ser>
          <c:idx val="3"/>
          <c:order val="3"/>
          <c:tx>
            <c:strRef>
              <c:f>'sizing data'!$G$3</c:f>
              <c:strCache>
                <c:ptCount val="1"/>
                <c:pt idx="0">
                  <c:v>net meter ratio x10</c:v>
                </c:pt>
              </c:strCache>
            </c:strRef>
          </c:tx>
          <c:spPr>
            <a:ln w="12700" cap="rnd">
              <a:solidFill>
                <a:srgbClr val="92D05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data'!$G$4:$G$61</c:f>
              <c:numCache>
                <c:formatCode>0%</c:formatCode>
                <c:ptCount val="58"/>
                <c:pt idx="0">
                  <c:v>0.5</c:v>
                </c:pt>
                <c:pt idx="1">
                  <c:v>1.1000000000000001</c:v>
                </c:pt>
                <c:pt idx="2">
                  <c:v>1.6</c:v>
                </c:pt>
                <c:pt idx="3">
                  <c:v>2.1</c:v>
                </c:pt>
                <c:pt idx="4">
                  <c:v>2.6</c:v>
                </c:pt>
                <c:pt idx="5">
                  <c:v>3.2</c:v>
                </c:pt>
                <c:pt idx="6">
                  <c:v>3.7</c:v>
                </c:pt>
                <c:pt idx="7">
                  <c:v>4.2</c:v>
                </c:pt>
                <c:pt idx="8">
                  <c:v>4.8</c:v>
                </c:pt>
                <c:pt idx="9">
                  <c:v>5.3000000000000007</c:v>
                </c:pt>
                <c:pt idx="10">
                  <c:v>5.8999999999999995</c:v>
                </c:pt>
                <c:pt idx="11">
                  <c:v>6.4</c:v>
                </c:pt>
                <c:pt idx="12">
                  <c:v>7</c:v>
                </c:pt>
                <c:pt idx="13">
                  <c:v>7.6</c:v>
                </c:pt>
                <c:pt idx="14">
                  <c:v>8</c:v>
                </c:pt>
                <c:pt idx="15">
                  <c:v>9.1</c:v>
                </c:pt>
                <c:pt idx="16">
                  <c:v>9.6999999999999993</c:v>
                </c:pt>
                <c:pt idx="17">
                  <c:v>10.199999999999999</c:v>
                </c:pt>
                <c:pt idx="18">
                  <c:v>10.8</c:v>
                </c:pt>
                <c:pt idx="19">
                  <c:v>11.299999999999999</c:v>
                </c:pt>
                <c:pt idx="20">
                  <c:v>11.899999999999999</c:v>
                </c:pt>
                <c:pt idx="21">
                  <c:v>12.4</c:v>
                </c:pt>
                <c:pt idx="22">
                  <c:v>13</c:v>
                </c:pt>
                <c:pt idx="23">
                  <c:v>13.5</c:v>
                </c:pt>
                <c:pt idx="24">
                  <c:v>14.1</c:v>
                </c:pt>
                <c:pt idx="25">
                  <c:v>14.6</c:v>
                </c:pt>
                <c:pt idx="26">
                  <c:v>15.2</c:v>
                </c:pt>
                <c:pt idx="27">
                  <c:v>15.700000000000001</c:v>
                </c:pt>
                <c:pt idx="28">
                  <c:v>16.299999999999997</c:v>
                </c:pt>
                <c:pt idx="29">
                  <c:v>16.8</c:v>
                </c:pt>
                <c:pt idx="30">
                  <c:v>17.399999999999999</c:v>
                </c:pt>
                <c:pt idx="31">
                  <c:v>18.5</c:v>
                </c:pt>
                <c:pt idx="32">
                  <c:v>19</c:v>
                </c:pt>
                <c:pt idx="33">
                  <c:v>19.600000000000001</c:v>
                </c:pt>
                <c:pt idx="34">
                  <c:v>20.099999999999998</c:v>
                </c:pt>
                <c:pt idx="35">
                  <c:v>21.200000000000003</c:v>
                </c:pt>
                <c:pt idx="36">
                  <c:v>21.8</c:v>
                </c:pt>
                <c:pt idx="37">
                  <c:v>22.400000000000002</c:v>
                </c:pt>
                <c:pt idx="38">
                  <c:v>23.5</c:v>
                </c:pt>
                <c:pt idx="39">
                  <c:v>24</c:v>
                </c:pt>
                <c:pt idx="40">
                  <c:v>24.6</c:v>
                </c:pt>
                <c:pt idx="41">
                  <c:v>25.7</c:v>
                </c:pt>
                <c:pt idx="42">
                  <c:v>26.200000000000003</c:v>
                </c:pt>
                <c:pt idx="43">
                  <c:v>26.8</c:v>
                </c:pt>
                <c:pt idx="44">
                  <c:v>27.3</c:v>
                </c:pt>
                <c:pt idx="45">
                  <c:v>28.4</c:v>
                </c:pt>
                <c:pt idx="46">
                  <c:v>29</c:v>
                </c:pt>
                <c:pt idx="47">
                  <c:v>30</c:v>
                </c:pt>
                <c:pt idx="48">
                  <c:v>31.7</c:v>
                </c:pt>
                <c:pt idx="49">
                  <c:v>33.4</c:v>
                </c:pt>
                <c:pt idx="50">
                  <c:v>35.099999999999994</c:v>
                </c:pt>
                <c:pt idx="51">
                  <c:v>36.700000000000003</c:v>
                </c:pt>
                <c:pt idx="52">
                  <c:v>38.4</c:v>
                </c:pt>
                <c:pt idx="53">
                  <c:v>40</c:v>
                </c:pt>
                <c:pt idx="54">
                  <c:v>42.800000000000004</c:v>
                </c:pt>
                <c:pt idx="55">
                  <c:v>46.7</c:v>
                </c:pt>
                <c:pt idx="56">
                  <c:v>47.800000000000004</c:v>
                </c:pt>
                <c:pt idx="57">
                  <c:v>51.1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D7D-436D-92DF-E3171A09696C}"/>
            </c:ext>
          </c:extLst>
        </c:ser>
        <c:ser>
          <c:idx val="5"/>
          <c:order val="4"/>
          <c:tx>
            <c:strRef>
              <c:f>'sizing data'!$I$3</c:f>
              <c:strCache>
                <c:ptCount val="1"/>
                <c:pt idx="0">
                  <c:v>cost, k$</c:v>
                </c:pt>
              </c:strCache>
            </c:strRef>
          </c:tx>
          <c:spPr>
            <a:ln w="127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data'!$I$4:$I$61</c:f>
              <c:numCache>
                <c:formatCode>"$"#,##0.0</c:formatCode>
                <c:ptCount val="58"/>
                <c:pt idx="0">
                  <c:v>14.238</c:v>
                </c:pt>
                <c:pt idx="1">
                  <c:v>19.576000000000001</c:v>
                </c:pt>
                <c:pt idx="2">
                  <c:v>22.463999999999999</c:v>
                </c:pt>
                <c:pt idx="3">
                  <c:v>22.902000000000001</c:v>
                </c:pt>
                <c:pt idx="4">
                  <c:v>25.79</c:v>
                </c:pt>
                <c:pt idx="5">
                  <c:v>28.678000000000001</c:v>
                </c:pt>
                <c:pt idx="6">
                  <c:v>31.565999999999999</c:v>
                </c:pt>
                <c:pt idx="7">
                  <c:v>34.454000000000001</c:v>
                </c:pt>
                <c:pt idx="8">
                  <c:v>37.341999999999999</c:v>
                </c:pt>
                <c:pt idx="9">
                  <c:v>35.33</c:v>
                </c:pt>
                <c:pt idx="10">
                  <c:v>38.218000000000004</c:v>
                </c:pt>
                <c:pt idx="11">
                  <c:v>41.106000000000002</c:v>
                </c:pt>
                <c:pt idx="12">
                  <c:v>39.094000000000001</c:v>
                </c:pt>
                <c:pt idx="13">
                  <c:v>41.981999999999999</c:v>
                </c:pt>
                <c:pt idx="14">
                  <c:v>44.87</c:v>
                </c:pt>
                <c:pt idx="15">
                  <c:v>40.845999999999997</c:v>
                </c:pt>
                <c:pt idx="16">
                  <c:v>43.734000000000002</c:v>
                </c:pt>
                <c:pt idx="17">
                  <c:v>44.171999999999997</c:v>
                </c:pt>
                <c:pt idx="18">
                  <c:v>44.61</c:v>
                </c:pt>
                <c:pt idx="19">
                  <c:v>45.048000000000002</c:v>
                </c:pt>
                <c:pt idx="20">
                  <c:v>45.485999999999997</c:v>
                </c:pt>
                <c:pt idx="21">
                  <c:v>48.374000000000002</c:v>
                </c:pt>
                <c:pt idx="22">
                  <c:v>51.262</c:v>
                </c:pt>
                <c:pt idx="23">
                  <c:v>51.7</c:v>
                </c:pt>
                <c:pt idx="24">
                  <c:v>52.137999999999998</c:v>
                </c:pt>
                <c:pt idx="25">
                  <c:v>55.026000000000003</c:v>
                </c:pt>
                <c:pt idx="26">
                  <c:v>55.463999999999999</c:v>
                </c:pt>
                <c:pt idx="27">
                  <c:v>55.902000000000001</c:v>
                </c:pt>
                <c:pt idx="28">
                  <c:v>58.79</c:v>
                </c:pt>
                <c:pt idx="29">
                  <c:v>59.228000000000002</c:v>
                </c:pt>
                <c:pt idx="30">
                  <c:v>59.665999999999997</c:v>
                </c:pt>
                <c:pt idx="31">
                  <c:v>60.542000000000002</c:v>
                </c:pt>
                <c:pt idx="32">
                  <c:v>60.98</c:v>
                </c:pt>
                <c:pt idx="33">
                  <c:v>61.417999999999999</c:v>
                </c:pt>
                <c:pt idx="34">
                  <c:v>71.206000000000003</c:v>
                </c:pt>
                <c:pt idx="35">
                  <c:v>72.081999999999994</c:v>
                </c:pt>
                <c:pt idx="36">
                  <c:v>72.52</c:v>
                </c:pt>
                <c:pt idx="37">
                  <c:v>72.957999999999998</c:v>
                </c:pt>
                <c:pt idx="38">
                  <c:v>73.834000000000003</c:v>
                </c:pt>
                <c:pt idx="39">
                  <c:v>74.272000000000006</c:v>
                </c:pt>
                <c:pt idx="40">
                  <c:v>77.16</c:v>
                </c:pt>
                <c:pt idx="41">
                  <c:v>78.036000000000001</c:v>
                </c:pt>
                <c:pt idx="42">
                  <c:v>80.924000000000007</c:v>
                </c:pt>
                <c:pt idx="43">
                  <c:v>81.361999999999995</c:v>
                </c:pt>
                <c:pt idx="44">
                  <c:v>84.25</c:v>
                </c:pt>
                <c:pt idx="45">
                  <c:v>85.126000000000005</c:v>
                </c:pt>
                <c:pt idx="46">
                  <c:v>88.013999999999996</c:v>
                </c:pt>
                <c:pt idx="47">
                  <c:v>88.89</c:v>
                </c:pt>
                <c:pt idx="48">
                  <c:v>90.203999999999994</c:v>
                </c:pt>
                <c:pt idx="49">
                  <c:v>91.518000000000001</c:v>
                </c:pt>
                <c:pt idx="50">
                  <c:v>92.831999999999994</c:v>
                </c:pt>
                <c:pt idx="51">
                  <c:v>94.146000000000001</c:v>
                </c:pt>
                <c:pt idx="52">
                  <c:v>95.46</c:v>
                </c:pt>
                <c:pt idx="53">
                  <c:v>106.124</c:v>
                </c:pt>
                <c:pt idx="54">
                  <c:v>108.31399999999999</c:v>
                </c:pt>
                <c:pt idx="55">
                  <c:v>111.38</c:v>
                </c:pt>
                <c:pt idx="56">
                  <c:v>114.706</c:v>
                </c:pt>
                <c:pt idx="57">
                  <c:v>119.78400000000001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D7D-436D-92DF-E3171A09696C}"/>
            </c:ext>
          </c:extLst>
        </c:ser>
        <c:ser>
          <c:idx val="6"/>
          <c:order val="5"/>
          <c:tx>
            <c:strRef>
              <c:f>'sizing data'!$J$3</c:f>
              <c:strCache>
                <c:ptCount val="1"/>
                <c:pt idx="0">
                  <c:v>extra cost/day, $</c:v>
                </c:pt>
              </c:strCache>
            </c:strRef>
          </c:tx>
          <c:spPr>
            <a:ln w="1270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xVal>
            <c:numRef>
              <c:f>'sizing data'!$A$4:$A$61</c:f>
              <c:numCache>
                <c:formatCode>General</c:formatCode>
                <c:ptCount val="58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17</c:v>
                </c:pt>
                <c:pt idx="16">
                  <c:v>18</c:v>
                </c:pt>
                <c:pt idx="17">
                  <c:v>19</c:v>
                </c:pt>
                <c:pt idx="18">
                  <c:v>20</c:v>
                </c:pt>
                <c:pt idx="19">
                  <c:v>21</c:v>
                </c:pt>
                <c:pt idx="20">
                  <c:v>22</c:v>
                </c:pt>
                <c:pt idx="21">
                  <c:v>23</c:v>
                </c:pt>
                <c:pt idx="22">
                  <c:v>24</c:v>
                </c:pt>
                <c:pt idx="23">
                  <c:v>25</c:v>
                </c:pt>
                <c:pt idx="24">
                  <c:v>26</c:v>
                </c:pt>
                <c:pt idx="25">
                  <c:v>27</c:v>
                </c:pt>
                <c:pt idx="26">
                  <c:v>28</c:v>
                </c:pt>
                <c:pt idx="27">
                  <c:v>29</c:v>
                </c:pt>
                <c:pt idx="28">
                  <c:v>30</c:v>
                </c:pt>
                <c:pt idx="29">
                  <c:v>31</c:v>
                </c:pt>
                <c:pt idx="30">
                  <c:v>32</c:v>
                </c:pt>
                <c:pt idx="31">
                  <c:v>34</c:v>
                </c:pt>
                <c:pt idx="32">
                  <c:v>35</c:v>
                </c:pt>
                <c:pt idx="33">
                  <c:v>36</c:v>
                </c:pt>
                <c:pt idx="34">
                  <c:v>37</c:v>
                </c:pt>
                <c:pt idx="35">
                  <c:v>39</c:v>
                </c:pt>
                <c:pt idx="36">
                  <c:v>40</c:v>
                </c:pt>
                <c:pt idx="37">
                  <c:v>41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52</c:v>
                </c:pt>
                <c:pt idx="46">
                  <c:v>53</c:v>
                </c:pt>
                <c:pt idx="47">
                  <c:v>55</c:v>
                </c:pt>
                <c:pt idx="48">
                  <c:v>58</c:v>
                </c:pt>
                <c:pt idx="49">
                  <c:v>61</c:v>
                </c:pt>
                <c:pt idx="50">
                  <c:v>64</c:v>
                </c:pt>
                <c:pt idx="51">
                  <c:v>67</c:v>
                </c:pt>
                <c:pt idx="52">
                  <c:v>70</c:v>
                </c:pt>
                <c:pt idx="53">
                  <c:v>73</c:v>
                </c:pt>
                <c:pt idx="54">
                  <c:v>78</c:v>
                </c:pt>
                <c:pt idx="55">
                  <c:v>85</c:v>
                </c:pt>
                <c:pt idx="56">
                  <c:v>87</c:v>
                </c:pt>
                <c:pt idx="57">
                  <c:v>93</c:v>
                </c:pt>
              </c:numCache>
            </c:numRef>
          </c:xVal>
          <c:yVal>
            <c:numRef>
              <c:f>'sizing data'!$J$4:$J$61</c:f>
              <c:numCache>
                <c:formatCode>"$"#,##0.00</c:formatCode>
                <c:ptCount val="58"/>
                <c:pt idx="0">
                  <c:v>4.71</c:v>
                </c:pt>
                <c:pt idx="1">
                  <c:v>5.76</c:v>
                </c:pt>
                <c:pt idx="2">
                  <c:v>6.13</c:v>
                </c:pt>
                <c:pt idx="3">
                  <c:v>5.84</c:v>
                </c:pt>
                <c:pt idx="4">
                  <c:v>6.21</c:v>
                </c:pt>
                <c:pt idx="5">
                  <c:v>6.59</c:v>
                </c:pt>
                <c:pt idx="6">
                  <c:v>6.97</c:v>
                </c:pt>
                <c:pt idx="7">
                  <c:v>7.34</c:v>
                </c:pt>
                <c:pt idx="8">
                  <c:v>7.71</c:v>
                </c:pt>
                <c:pt idx="9">
                  <c:v>6.74</c:v>
                </c:pt>
                <c:pt idx="10">
                  <c:v>7.1</c:v>
                </c:pt>
                <c:pt idx="11">
                  <c:v>7.47</c:v>
                </c:pt>
                <c:pt idx="12">
                  <c:v>6.49</c:v>
                </c:pt>
                <c:pt idx="13">
                  <c:v>6.86</c:v>
                </c:pt>
                <c:pt idx="14">
                  <c:v>7.23</c:v>
                </c:pt>
                <c:pt idx="15">
                  <c:v>5.26</c:v>
                </c:pt>
                <c:pt idx="16">
                  <c:v>5.63</c:v>
                </c:pt>
                <c:pt idx="17">
                  <c:v>5.48</c:v>
                </c:pt>
                <c:pt idx="18">
                  <c:v>5.53</c:v>
                </c:pt>
                <c:pt idx="19">
                  <c:v>5.58</c:v>
                </c:pt>
                <c:pt idx="20">
                  <c:v>5.62</c:v>
                </c:pt>
                <c:pt idx="21">
                  <c:v>6.34</c:v>
                </c:pt>
                <c:pt idx="22">
                  <c:v>7.06</c:v>
                </c:pt>
                <c:pt idx="23">
                  <c:v>7.11</c:v>
                </c:pt>
                <c:pt idx="24">
                  <c:v>7.16</c:v>
                </c:pt>
                <c:pt idx="25">
                  <c:v>7.88</c:v>
                </c:pt>
                <c:pt idx="26">
                  <c:v>7.92</c:v>
                </c:pt>
                <c:pt idx="27">
                  <c:v>7.97</c:v>
                </c:pt>
                <c:pt idx="28">
                  <c:v>8.69</c:v>
                </c:pt>
                <c:pt idx="29">
                  <c:v>8.74</c:v>
                </c:pt>
                <c:pt idx="30">
                  <c:v>8.7899999999999991</c:v>
                </c:pt>
                <c:pt idx="31">
                  <c:v>8.8800000000000008</c:v>
                </c:pt>
                <c:pt idx="32">
                  <c:v>8.93</c:v>
                </c:pt>
                <c:pt idx="33">
                  <c:v>8.98</c:v>
                </c:pt>
                <c:pt idx="34">
                  <c:v>11.59</c:v>
                </c:pt>
                <c:pt idx="35">
                  <c:v>11.69</c:v>
                </c:pt>
                <c:pt idx="36">
                  <c:v>11.73</c:v>
                </c:pt>
                <c:pt idx="37">
                  <c:v>11.78</c:v>
                </c:pt>
                <c:pt idx="38">
                  <c:v>11.88</c:v>
                </c:pt>
                <c:pt idx="39">
                  <c:v>11.93</c:v>
                </c:pt>
                <c:pt idx="40">
                  <c:v>12.64</c:v>
                </c:pt>
                <c:pt idx="41">
                  <c:v>12.74</c:v>
                </c:pt>
                <c:pt idx="42">
                  <c:v>13.46</c:v>
                </c:pt>
                <c:pt idx="43">
                  <c:v>13.51</c:v>
                </c:pt>
                <c:pt idx="44">
                  <c:v>14.23</c:v>
                </c:pt>
                <c:pt idx="45">
                  <c:v>14.32</c:v>
                </c:pt>
                <c:pt idx="46">
                  <c:v>15.04</c:v>
                </c:pt>
                <c:pt idx="47">
                  <c:v>15.14</c:v>
                </c:pt>
                <c:pt idx="48">
                  <c:v>15.28</c:v>
                </c:pt>
                <c:pt idx="49">
                  <c:v>15.43</c:v>
                </c:pt>
                <c:pt idx="50">
                  <c:v>15.57</c:v>
                </c:pt>
                <c:pt idx="51">
                  <c:v>15.71</c:v>
                </c:pt>
                <c:pt idx="52">
                  <c:v>15.86</c:v>
                </c:pt>
                <c:pt idx="53">
                  <c:v>18.559999999999999</c:v>
                </c:pt>
                <c:pt idx="54">
                  <c:v>18.8</c:v>
                </c:pt>
                <c:pt idx="55">
                  <c:v>19.14</c:v>
                </c:pt>
                <c:pt idx="56">
                  <c:v>19.91</c:v>
                </c:pt>
                <c:pt idx="57">
                  <c:v>20.87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D7D-436D-92DF-E3171A0969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6217392"/>
        <c:axId val="1036218224"/>
      </c:scatterChart>
      <c:valAx>
        <c:axId val="103621739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Number of PV panels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218224"/>
        <c:crosses val="autoZero"/>
        <c:crossBetween val="midCat"/>
        <c:minorUnit val="1"/>
      </c:valAx>
      <c:valAx>
        <c:axId val="1036218224"/>
        <c:scaling>
          <c:orientation val="minMax"/>
          <c:max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036217392"/>
        <c:crosses val="autoZero"/>
        <c:crossBetween val="midCat"/>
        <c:majorUnit val="10"/>
        <c:minorUnit val="1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000-000000000000}">
  <sheetPr/>
  <sheetViews>
    <sheetView zoomScale="18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0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66568C47-451C-4D33-AD62-C22B0DF64B76}">
  <sheetPr/>
  <sheetViews>
    <sheetView zoomScale="194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72CEB701-BE60-4499-83D8-53CFC04CBFC2}">
  <sheetPr/>
  <sheetViews>
    <sheetView zoomScale="194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3830" cy="62976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B54F182E-BC6A-4B61-A06B-4D9571E7F96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0.05432</cdr:x>
      <cdr:y>0.13435</cdr:y>
    </cdr:from>
    <cdr:to>
      <cdr:x>0.15537</cdr:x>
      <cdr:y>0.92277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71089089-635F-45E1-B3C3-115674267DD7}"/>
            </a:ext>
          </a:extLst>
        </cdr:cNvPr>
        <cdr:cNvSpPr/>
      </cdr:nvSpPr>
      <cdr:spPr>
        <a:xfrm xmlns:a="http://schemas.openxmlformats.org/drawingml/2006/main">
          <a:off x="471184" y="846104"/>
          <a:ext cx="876502" cy="49651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0.25586</cdr:x>
      <cdr:y>0.13516</cdr:y>
    </cdr:from>
    <cdr:to>
      <cdr:x>0.35691</cdr:x>
      <cdr:y>0.92277</cdr:y>
    </cdr:to>
    <cdr:sp macro="" textlink="">
      <cdr:nvSpPr>
        <cdr:cNvPr id="5" name="Rectangle 4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2219258" y="851170"/>
          <a:ext cx="876502" cy="496009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0.45796</cdr:x>
      <cdr:y>0.13596</cdr:y>
    </cdr:from>
    <cdr:to>
      <cdr:x>0.55901</cdr:x>
      <cdr:y>0.92279</cdr:y>
    </cdr:to>
    <cdr:sp macro="" textlink="">
      <cdr:nvSpPr>
        <cdr:cNvPr id="6" name="Rectangle 5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3972263" y="856237"/>
          <a:ext cx="876502" cy="4955162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0.65889</cdr:x>
      <cdr:y>0.13435</cdr:y>
    </cdr:from>
    <cdr:to>
      <cdr:x>0.75995</cdr:x>
      <cdr:y>0.92279</cdr:y>
    </cdr:to>
    <cdr:sp macro="" textlink="">
      <cdr:nvSpPr>
        <cdr:cNvPr id="7" name="Rectangle 6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5715135" y="846105"/>
          <a:ext cx="876502" cy="4965294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0.86041</cdr:x>
      <cdr:y>0.13274</cdr:y>
    </cdr:from>
    <cdr:to>
      <cdr:x>0.96146</cdr:x>
      <cdr:y>0.92198</cdr:y>
    </cdr:to>
    <cdr:sp macro="" textlink="">
      <cdr:nvSpPr>
        <cdr:cNvPr id="8" name="Rectangle 7">
          <a:extLst xmlns:a="http://schemas.openxmlformats.org/drawingml/2006/main">
            <a:ext uri="{FF2B5EF4-FFF2-40B4-BE49-F238E27FC236}">
              <a16:creationId xmlns:a16="http://schemas.microsoft.com/office/drawing/2014/main" id="{10016747-A5B6-4936-BD35-5282242D4FB2}"/>
            </a:ext>
          </a:extLst>
        </cdr:cNvPr>
        <cdr:cNvSpPr/>
      </cdr:nvSpPr>
      <cdr:spPr>
        <a:xfrm xmlns:a="http://schemas.openxmlformats.org/drawingml/2006/main">
          <a:off x="7463074" y="835971"/>
          <a:ext cx="876502" cy="4970361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en-US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ED4A81D-C6B4-492B-95C1-59323EB47E3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8648700" cy="6276975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50C120D-4C29-44F0-B488-B403AFD7B7F1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F965AF5-D3F6-4BD5-85FF-9A6BE2A619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109536</xdr:colOff>
      <xdr:row>0</xdr:row>
      <xdr:rowOff>100012</xdr:rowOff>
    </xdr:from>
    <xdr:to>
      <xdr:col>18</xdr:col>
      <xdr:colOff>600076</xdr:colOff>
      <xdr:row>42</xdr:row>
      <xdr:rowOff>180975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79097-4F2C-4F7B-BC13-D946E2F662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5786" cy="6289446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E9A31AC-CDA1-4642-8E3D-908E068792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0.24476</cdr:x>
      <cdr:y>0.30289</cdr:y>
    </cdr:from>
    <cdr:to>
      <cdr:x>0.24646</cdr:x>
      <cdr:y>0.86261</cdr:y>
    </cdr:to>
    <cdr:cxnSp macro="">
      <cdr:nvCxn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90C3A52D-7EC8-4C75-9777-2A6B4D36B45A}"/>
            </a:ext>
          </a:extLst>
        </cdr:cNvPr>
        <cdr:cNvCxnSpPr/>
      </cdr:nvCxnSpPr>
      <cdr:spPr>
        <a:xfrm xmlns:a="http://schemas.openxmlformats.org/drawingml/2006/main" flipH="1">
          <a:off x="2121033" y="1905000"/>
          <a:ext cx="14727" cy="3520322"/>
        </a:xfrm>
        <a:prstGeom xmlns:a="http://schemas.openxmlformats.org/drawingml/2006/main" prst="line">
          <a:avLst/>
        </a:prstGeom>
        <a:ln xmlns:a="http://schemas.openxmlformats.org/drawingml/2006/main" w="12700">
          <a:solidFill>
            <a:schemeClr val="tx1"/>
          </a:solidFill>
          <a:prstDash val="sysDash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0.07649</cdr:x>
      <cdr:y>0.09758</cdr:y>
    </cdr:from>
    <cdr:to>
      <cdr:x>0.75977</cdr:x>
      <cdr:y>0.3427</cdr:y>
    </cdr:to>
    <cdr:sp macro="" textlink="">
      <cdr:nvSpPr>
        <cdr:cNvPr id="4" name="TextBox 3">
          <a:extLst xmlns:a="http://schemas.openxmlformats.org/drawingml/2006/main">
            <a:ext uri="{FF2B5EF4-FFF2-40B4-BE49-F238E27FC236}">
              <a16:creationId xmlns:a16="http://schemas.microsoft.com/office/drawing/2014/main" id="{F9773CE8-DC0E-49C3-82B7-358ED93C63BE}"/>
            </a:ext>
          </a:extLst>
        </cdr:cNvPr>
        <cdr:cNvSpPr txBox="1"/>
      </cdr:nvSpPr>
      <cdr:spPr>
        <a:xfrm xmlns:a="http://schemas.openxmlformats.org/drawingml/2006/main">
          <a:off x="662824" y="613722"/>
          <a:ext cx="5921210" cy="15416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000"/>
            <a:t>Point of diminishing returns - only </a:t>
          </a:r>
          <a:r>
            <a:rPr lang="en-US" sz="1000" baseline="0">
              <a:effectLst/>
              <a:latin typeface="+mn-lt"/>
              <a:ea typeface="+mn-ea"/>
              <a:cs typeface="+mn-cs"/>
            </a:rPr>
            <a:t>62% energy from batteries, but:</a:t>
          </a:r>
          <a:endParaRPr lang="en-US" sz="1000">
            <a:effectLst/>
          </a:endParaRPr>
        </a:p>
        <a:p xmlns:a="http://schemas.openxmlformats.org/drawingml/2006/main">
          <a:r>
            <a:rPr lang="en-US" sz="1000"/>
            <a:t>- 22 solar panels generating</a:t>
          </a:r>
          <a:r>
            <a:rPr lang="en-US" sz="1000" baseline="0"/>
            <a:t> 19% more than needed net</a:t>
          </a:r>
          <a:r>
            <a:rPr lang="en-US" sz="1000"/>
            <a:t> (7.6 kW array; only 24% of off-grid)</a:t>
          </a:r>
        </a:p>
        <a:p xmlns:a="http://schemas.openxmlformats.org/drawingml/2006/main">
          <a:r>
            <a:rPr lang="en-US" sz="1000"/>
            <a:t>- 10 3.6 kWh batteries (36 kWh total; only 45% of off-grid)</a:t>
          </a:r>
        </a:p>
        <a:p xmlns:a="http://schemas.openxmlformats.org/drawingml/2006/main">
          <a:r>
            <a:rPr lang="en-US" sz="1000"/>
            <a:t>- 1 Sol-Ark 12k</a:t>
          </a:r>
          <a:r>
            <a:rPr lang="en-US" sz="1000" baseline="0"/>
            <a:t> inverter/charger (only 33% of off-grid)</a:t>
          </a:r>
          <a:endParaRPr lang="en-US" sz="1000"/>
        </a:p>
        <a:p xmlns:a="http://schemas.openxmlformats.org/drawingml/2006/main">
          <a:r>
            <a:rPr lang="en-US" sz="1000"/>
            <a:t>- $45K part cost estimate (labor not included; only 38% of off-</a:t>
          </a:r>
          <a:r>
            <a:rPr lang="en-US" sz="1000" baseline="0"/>
            <a:t>grid</a:t>
          </a:r>
          <a:r>
            <a:rPr lang="en-US" sz="1000"/>
            <a:t>)</a:t>
          </a:r>
        </a:p>
        <a:p xmlns:a="http://schemas.openxmlformats.org/drawingml/2006/main">
          <a:r>
            <a:rPr lang="en-US" sz="1000"/>
            <a:t>- $5.62 more</a:t>
          </a:r>
          <a:r>
            <a:rPr lang="en-US" sz="1000" baseline="0"/>
            <a:t> per day replacement cost under warranty than energy bill saved (only 27% of off-grid)</a:t>
          </a:r>
          <a:r>
            <a:rPr lang="en-US" sz="1000"/>
            <a:t> 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Q80"/>
  <sheetViews>
    <sheetView workbookViewId="0">
      <selection activeCell="G1" sqref="G1:G1048576"/>
    </sheetView>
  </sheetViews>
  <sheetFormatPr defaultRowHeight="15" x14ac:dyDescent="0.25"/>
  <cols>
    <col min="8" max="8" width="10.7109375" bestFit="1" customWidth="1"/>
    <col min="10" max="10" width="24.7109375" bestFit="1" customWidth="1"/>
  </cols>
  <sheetData>
    <row r="1" spans="1:11" x14ac:dyDescent="0.25">
      <c r="A1" t="s">
        <v>0</v>
      </c>
      <c r="B1" t="s">
        <v>1</v>
      </c>
    </row>
    <row r="2" spans="1:11" x14ac:dyDescent="0.25">
      <c r="A2" t="s">
        <v>2</v>
      </c>
      <c r="B2" t="s">
        <v>3</v>
      </c>
    </row>
    <row r="3" spans="1:11" x14ac:dyDescent="0.25">
      <c r="A3" t="s">
        <v>4</v>
      </c>
      <c r="B3">
        <v>4825997950</v>
      </c>
    </row>
    <row r="4" spans="1:11" x14ac:dyDescent="0.25">
      <c r="A4" t="s">
        <v>5</v>
      </c>
      <c r="B4">
        <v>4825997721</v>
      </c>
    </row>
    <row r="6" spans="1:11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G6" t="s">
        <v>12</v>
      </c>
      <c r="I6" t="s">
        <v>44</v>
      </c>
      <c r="J6" t="s">
        <v>43</v>
      </c>
      <c r="K6" t="s">
        <v>42</v>
      </c>
    </row>
    <row r="7" spans="1:11" x14ac:dyDescent="0.25">
      <c r="A7" t="s">
        <v>41</v>
      </c>
      <c r="B7" s="1">
        <v>42341</v>
      </c>
      <c r="C7" s="1">
        <v>42372</v>
      </c>
      <c r="D7">
        <v>766.49</v>
      </c>
      <c r="E7" t="s">
        <v>30</v>
      </c>
      <c r="F7" s="2">
        <v>99.29</v>
      </c>
      <c r="H7" s="1">
        <f t="shared" ref="H7:H38" si="0">C7</f>
        <v>42372</v>
      </c>
      <c r="I7">
        <f t="shared" ref="I7:I38" si="1">D7/(365/12)</f>
        <v>25.19967123287671</v>
      </c>
      <c r="K7" s="2">
        <f t="shared" ref="K7:K38" si="2">F7/D7</f>
        <v>0.12953854583882374</v>
      </c>
    </row>
    <row r="8" spans="1:11" x14ac:dyDescent="0.25">
      <c r="A8" t="s">
        <v>41</v>
      </c>
      <c r="B8" s="1">
        <v>42373</v>
      </c>
      <c r="C8" s="1">
        <v>42401</v>
      </c>
      <c r="D8">
        <v>567.80999999999995</v>
      </c>
      <c r="E8" t="s">
        <v>30</v>
      </c>
      <c r="F8" s="2">
        <v>78.92</v>
      </c>
      <c r="H8" s="1">
        <f t="shared" si="0"/>
        <v>42401</v>
      </c>
      <c r="I8">
        <f t="shared" si="1"/>
        <v>18.667726027397258</v>
      </c>
      <c r="K8" s="2">
        <f t="shared" si="2"/>
        <v>0.1389901551575351</v>
      </c>
    </row>
    <row r="9" spans="1:11" x14ac:dyDescent="0.25">
      <c r="A9" t="s">
        <v>41</v>
      </c>
      <c r="B9" s="1">
        <v>42402</v>
      </c>
      <c r="C9" s="1">
        <v>42431</v>
      </c>
      <c r="D9">
        <v>500.4</v>
      </c>
      <c r="E9" t="s">
        <v>30</v>
      </c>
      <c r="F9" s="2">
        <v>64.47</v>
      </c>
      <c r="H9" s="1">
        <f t="shared" si="0"/>
        <v>42431</v>
      </c>
      <c r="I9">
        <f t="shared" si="1"/>
        <v>16.451506849315066</v>
      </c>
      <c r="K9" s="2">
        <f t="shared" si="2"/>
        <v>0.12883693045563549</v>
      </c>
    </row>
    <row r="10" spans="1:11" x14ac:dyDescent="0.25">
      <c r="A10" t="s">
        <v>41</v>
      </c>
      <c r="B10" s="1">
        <v>42432</v>
      </c>
      <c r="C10" s="1">
        <v>42460</v>
      </c>
      <c r="D10">
        <v>367</v>
      </c>
      <c r="E10" t="s">
        <v>30</v>
      </c>
      <c r="F10" s="2">
        <v>44.69</v>
      </c>
      <c r="H10" s="1">
        <f t="shared" si="0"/>
        <v>42460</v>
      </c>
      <c r="I10">
        <f t="shared" si="1"/>
        <v>12.065753424657533</v>
      </c>
      <c r="K10" s="2">
        <f t="shared" si="2"/>
        <v>0.12177111716621253</v>
      </c>
    </row>
    <row r="11" spans="1:11" x14ac:dyDescent="0.25">
      <c r="A11" t="s">
        <v>41</v>
      </c>
      <c r="B11" s="1">
        <v>42461</v>
      </c>
      <c r="C11" s="1">
        <v>42492</v>
      </c>
      <c r="D11">
        <v>328.12</v>
      </c>
      <c r="E11" t="s">
        <v>30</v>
      </c>
      <c r="F11" s="2">
        <v>35.619999999999997</v>
      </c>
      <c r="H11" s="1">
        <f t="shared" si="0"/>
        <v>42492</v>
      </c>
      <c r="I11">
        <f t="shared" si="1"/>
        <v>10.787506849315069</v>
      </c>
      <c r="K11" s="2">
        <f t="shared" si="2"/>
        <v>0.10855784469096671</v>
      </c>
    </row>
    <row r="12" spans="1:11" x14ac:dyDescent="0.25">
      <c r="A12" t="s">
        <v>41</v>
      </c>
      <c r="B12" s="1">
        <v>42493</v>
      </c>
      <c r="C12" s="1">
        <v>42522</v>
      </c>
      <c r="D12">
        <v>267.97000000000003</v>
      </c>
      <c r="E12" t="s">
        <v>30</v>
      </c>
      <c r="F12" s="2">
        <v>29.09</v>
      </c>
      <c r="H12" s="1">
        <f t="shared" si="0"/>
        <v>42522</v>
      </c>
      <c r="I12">
        <f t="shared" si="1"/>
        <v>8.8099726027397267</v>
      </c>
      <c r="K12" s="2">
        <f t="shared" si="2"/>
        <v>0.10855692801432995</v>
      </c>
    </row>
    <row r="13" spans="1:11" x14ac:dyDescent="0.25">
      <c r="A13" t="s">
        <v>41</v>
      </c>
      <c r="B13" s="1">
        <v>42523</v>
      </c>
      <c r="C13" s="1">
        <v>42551</v>
      </c>
      <c r="D13">
        <v>253.92</v>
      </c>
      <c r="E13" t="s">
        <v>30</v>
      </c>
      <c r="F13" s="2">
        <v>27.55</v>
      </c>
      <c r="H13" s="1">
        <f t="shared" si="0"/>
        <v>42551</v>
      </c>
      <c r="I13">
        <f t="shared" si="1"/>
        <v>8.3480547945205466</v>
      </c>
      <c r="K13" s="2">
        <f t="shared" si="2"/>
        <v>0.10849873976055452</v>
      </c>
    </row>
    <row r="14" spans="1:11" x14ac:dyDescent="0.25">
      <c r="A14" t="s">
        <v>41</v>
      </c>
      <c r="B14" s="1">
        <v>42552</v>
      </c>
      <c r="C14" s="1">
        <v>42583</v>
      </c>
      <c r="D14">
        <v>214.46</v>
      </c>
      <c r="E14" t="s">
        <v>30</v>
      </c>
      <c r="F14" s="2">
        <v>23.29</v>
      </c>
      <c r="H14" s="1">
        <f t="shared" si="0"/>
        <v>42583</v>
      </c>
      <c r="I14">
        <f t="shared" si="1"/>
        <v>7.0507397260273974</v>
      </c>
      <c r="K14" s="2">
        <f t="shared" si="2"/>
        <v>0.10859834001678634</v>
      </c>
    </row>
    <row r="15" spans="1:11" x14ac:dyDescent="0.25">
      <c r="A15" t="s">
        <v>41</v>
      </c>
      <c r="B15" s="1">
        <v>42584</v>
      </c>
      <c r="C15" s="1">
        <v>42613</v>
      </c>
      <c r="D15">
        <v>153.76</v>
      </c>
      <c r="E15" t="s">
        <v>30</v>
      </c>
      <c r="F15" s="2">
        <v>16.670000000000002</v>
      </c>
      <c r="H15" s="1">
        <f t="shared" si="0"/>
        <v>42613</v>
      </c>
      <c r="I15">
        <f t="shared" si="1"/>
        <v>5.0551232876712326</v>
      </c>
      <c r="K15" s="2">
        <f t="shared" si="2"/>
        <v>0.10841571279916755</v>
      </c>
    </row>
    <row r="16" spans="1:11" x14ac:dyDescent="0.25">
      <c r="A16" t="s">
        <v>41</v>
      </c>
      <c r="B16" s="1">
        <v>42614</v>
      </c>
      <c r="C16" s="1">
        <v>42645</v>
      </c>
      <c r="D16">
        <v>271.91000000000003</v>
      </c>
      <c r="E16" t="s">
        <v>30</v>
      </c>
      <c r="F16" s="2">
        <v>29.73</v>
      </c>
      <c r="H16" s="1">
        <f t="shared" si="0"/>
        <v>42645</v>
      </c>
      <c r="I16">
        <f t="shared" si="1"/>
        <v>8.9395068493150696</v>
      </c>
      <c r="K16" s="2">
        <f t="shared" si="2"/>
        <v>0.10933764848663159</v>
      </c>
    </row>
    <row r="17" spans="1:17" x14ac:dyDescent="0.25">
      <c r="A17" t="s">
        <v>41</v>
      </c>
      <c r="B17" s="1">
        <v>42646</v>
      </c>
      <c r="C17" s="1">
        <v>42674</v>
      </c>
      <c r="D17">
        <v>406.1</v>
      </c>
      <c r="E17" t="s">
        <v>30</v>
      </c>
      <c r="F17" s="2">
        <v>51.34</v>
      </c>
      <c r="H17" s="1">
        <f t="shared" si="0"/>
        <v>42674</v>
      </c>
      <c r="I17">
        <f t="shared" si="1"/>
        <v>13.351232876712329</v>
      </c>
      <c r="K17" s="2">
        <f t="shared" si="2"/>
        <v>0.12642206353114996</v>
      </c>
    </row>
    <row r="18" spans="1:17" x14ac:dyDescent="0.25">
      <c r="A18" t="s">
        <v>41</v>
      </c>
      <c r="B18" s="1">
        <v>42675</v>
      </c>
      <c r="C18" s="1">
        <v>42705</v>
      </c>
      <c r="D18">
        <v>470.92</v>
      </c>
      <c r="E18" t="s">
        <v>30</v>
      </c>
      <c r="F18" s="2">
        <v>59.64</v>
      </c>
      <c r="H18" s="1">
        <f t="shared" si="0"/>
        <v>42705</v>
      </c>
      <c r="I18">
        <f t="shared" si="1"/>
        <v>15.482301369863013</v>
      </c>
      <c r="K18" s="2">
        <f t="shared" si="2"/>
        <v>0.12664571477108638</v>
      </c>
    </row>
    <row r="19" spans="1:17" x14ac:dyDescent="0.25">
      <c r="A19" t="s">
        <v>41</v>
      </c>
      <c r="B19" s="1">
        <v>42706</v>
      </c>
      <c r="C19" s="1">
        <v>42737</v>
      </c>
      <c r="D19">
        <v>666.9</v>
      </c>
      <c r="E19" t="s">
        <v>30</v>
      </c>
      <c r="F19" s="2">
        <v>92.37</v>
      </c>
      <c r="H19" s="1">
        <f t="shared" si="0"/>
        <v>42737</v>
      </c>
      <c r="I19">
        <f t="shared" si="1"/>
        <v>21.925479452054795</v>
      </c>
      <c r="K19" s="2">
        <f t="shared" si="2"/>
        <v>0.13850652271704905</v>
      </c>
    </row>
    <row r="20" spans="1:17" x14ac:dyDescent="0.25">
      <c r="A20" t="s">
        <v>41</v>
      </c>
      <c r="B20" s="1">
        <v>42738</v>
      </c>
      <c r="C20" s="1">
        <v>42766</v>
      </c>
      <c r="D20">
        <v>586.21</v>
      </c>
      <c r="E20" t="s">
        <v>30</v>
      </c>
      <c r="F20" s="2">
        <v>82.69</v>
      </c>
      <c r="H20" s="1">
        <f t="shared" si="0"/>
        <v>42766</v>
      </c>
      <c r="I20">
        <f t="shared" si="1"/>
        <v>19.272657534246576</v>
      </c>
      <c r="K20" s="2">
        <f t="shared" si="2"/>
        <v>0.14105866498353831</v>
      </c>
    </row>
    <row r="21" spans="1:17" x14ac:dyDescent="0.25">
      <c r="A21" t="s">
        <v>41</v>
      </c>
      <c r="B21" s="1">
        <v>42767</v>
      </c>
      <c r="C21" s="1">
        <v>42796</v>
      </c>
      <c r="D21">
        <v>484.83</v>
      </c>
      <c r="E21" t="s">
        <v>30</v>
      </c>
      <c r="F21" s="2">
        <v>65.08</v>
      </c>
      <c r="H21" s="1">
        <f t="shared" si="0"/>
        <v>42796</v>
      </c>
      <c r="I21">
        <f t="shared" si="1"/>
        <v>15.939616438356163</v>
      </c>
      <c r="K21" s="2">
        <f t="shared" si="2"/>
        <v>0.13423261761854671</v>
      </c>
    </row>
    <row r="22" spans="1:17" x14ac:dyDescent="0.25">
      <c r="A22" t="s">
        <v>41</v>
      </c>
      <c r="B22" s="1">
        <v>42797</v>
      </c>
      <c r="C22" s="1">
        <v>42827</v>
      </c>
      <c r="D22">
        <v>391.35</v>
      </c>
      <c r="E22" t="s">
        <v>30</v>
      </c>
      <c r="F22" s="2">
        <v>55.31</v>
      </c>
      <c r="H22" s="1">
        <f t="shared" si="0"/>
        <v>42827</v>
      </c>
      <c r="I22">
        <f t="shared" si="1"/>
        <v>12.866301369863013</v>
      </c>
      <c r="K22" s="2">
        <f t="shared" si="2"/>
        <v>0.14133128912737958</v>
      </c>
    </row>
    <row r="23" spans="1:17" x14ac:dyDescent="0.25">
      <c r="A23" t="s">
        <v>41</v>
      </c>
      <c r="B23" s="1">
        <v>42828</v>
      </c>
      <c r="C23" s="1">
        <v>42857</v>
      </c>
      <c r="D23">
        <v>371.87</v>
      </c>
      <c r="E23" t="s">
        <v>30</v>
      </c>
      <c r="F23" s="2">
        <v>53.66</v>
      </c>
      <c r="H23" s="1">
        <f t="shared" si="0"/>
        <v>42857</v>
      </c>
      <c r="I23">
        <f t="shared" si="1"/>
        <v>12.22586301369863</v>
      </c>
      <c r="K23" s="2">
        <f t="shared" si="2"/>
        <v>0.14429773845698765</v>
      </c>
    </row>
    <row r="24" spans="1:17" x14ac:dyDescent="0.25">
      <c r="A24" t="s">
        <v>41</v>
      </c>
      <c r="B24" s="1">
        <v>42858</v>
      </c>
      <c r="C24" s="1">
        <v>42887</v>
      </c>
      <c r="D24">
        <v>74.42</v>
      </c>
      <c r="E24" t="s">
        <v>30</v>
      </c>
      <c r="F24" s="2">
        <v>9.74</v>
      </c>
      <c r="H24" s="1">
        <f t="shared" si="0"/>
        <v>42887</v>
      </c>
      <c r="I24">
        <f t="shared" si="1"/>
        <v>2.4466849315068493</v>
      </c>
      <c r="K24" s="2">
        <f t="shared" si="2"/>
        <v>0.13087879602257457</v>
      </c>
    </row>
    <row r="25" spans="1:17" x14ac:dyDescent="0.25">
      <c r="A25" t="s">
        <v>41</v>
      </c>
      <c r="B25" s="1">
        <v>42888</v>
      </c>
      <c r="C25" s="1">
        <v>42918</v>
      </c>
      <c r="D25">
        <v>132.76</v>
      </c>
      <c r="E25" t="s">
        <v>30</v>
      </c>
      <c r="F25" s="2">
        <v>17.37</v>
      </c>
      <c r="H25" s="1">
        <f t="shared" si="0"/>
        <v>42918</v>
      </c>
      <c r="I25">
        <f t="shared" si="1"/>
        <v>4.3647123287671228</v>
      </c>
      <c r="K25" s="2">
        <f t="shared" si="2"/>
        <v>0.13083760168725522</v>
      </c>
    </row>
    <row r="26" spans="1:17" x14ac:dyDescent="0.25">
      <c r="A26" t="s">
        <v>41</v>
      </c>
      <c r="B26" s="1">
        <v>42919</v>
      </c>
      <c r="C26" s="1">
        <v>42948</v>
      </c>
      <c r="D26">
        <v>325.88</v>
      </c>
      <c r="E26" t="s">
        <v>30</v>
      </c>
      <c r="F26" s="2">
        <v>44.41</v>
      </c>
      <c r="H26" s="1">
        <f t="shared" si="0"/>
        <v>42948</v>
      </c>
      <c r="I26">
        <f t="shared" si="1"/>
        <v>10.71386301369863</v>
      </c>
      <c r="K26" s="2">
        <f t="shared" si="2"/>
        <v>0.13627715723579231</v>
      </c>
    </row>
    <row r="27" spans="1:17" x14ac:dyDescent="0.25">
      <c r="A27" t="s">
        <v>41</v>
      </c>
      <c r="B27" s="1">
        <v>42949</v>
      </c>
      <c r="C27" s="1">
        <v>42978</v>
      </c>
      <c r="D27">
        <v>229.84</v>
      </c>
      <c r="E27" t="s">
        <v>30</v>
      </c>
      <c r="F27" s="2">
        <v>30.09</v>
      </c>
      <c r="H27" s="1">
        <f t="shared" si="0"/>
        <v>42978</v>
      </c>
      <c r="I27">
        <f t="shared" si="1"/>
        <v>7.5563835616438357</v>
      </c>
      <c r="K27" s="2">
        <f t="shared" si="2"/>
        <v>0.13091715976331361</v>
      </c>
    </row>
    <row r="28" spans="1:17" x14ac:dyDescent="0.25">
      <c r="A28" t="s">
        <v>41</v>
      </c>
      <c r="B28" s="1">
        <v>42979</v>
      </c>
      <c r="C28" s="1">
        <v>43010</v>
      </c>
      <c r="D28">
        <v>417.35</v>
      </c>
      <c r="E28" t="s">
        <v>30</v>
      </c>
      <c r="F28" s="2">
        <v>61.81</v>
      </c>
      <c r="H28" s="1">
        <f t="shared" si="0"/>
        <v>43010</v>
      </c>
      <c r="I28">
        <f t="shared" si="1"/>
        <v>13.721095890410959</v>
      </c>
      <c r="K28" s="2">
        <f t="shared" si="2"/>
        <v>0.14810111417275668</v>
      </c>
    </row>
    <row r="29" spans="1:17" x14ac:dyDescent="0.25">
      <c r="A29" t="s">
        <v>41</v>
      </c>
      <c r="B29" s="1">
        <v>43011</v>
      </c>
      <c r="C29" s="1">
        <v>43039</v>
      </c>
      <c r="D29">
        <v>500.35</v>
      </c>
      <c r="E29" t="s">
        <v>30</v>
      </c>
      <c r="F29" s="2">
        <v>81.33</v>
      </c>
      <c r="H29" s="1">
        <f t="shared" si="0"/>
        <v>43039</v>
      </c>
      <c r="I29">
        <f t="shared" si="1"/>
        <v>16.449863013698629</v>
      </c>
      <c r="K29" s="2">
        <f t="shared" si="2"/>
        <v>0.16254621764764662</v>
      </c>
    </row>
    <row r="30" spans="1:17" x14ac:dyDescent="0.25">
      <c r="A30" t="s">
        <v>41</v>
      </c>
      <c r="B30" s="1">
        <v>43040</v>
      </c>
      <c r="C30" s="1">
        <v>43069</v>
      </c>
      <c r="D30">
        <v>760.23</v>
      </c>
      <c r="E30" t="s">
        <v>30</v>
      </c>
      <c r="F30" s="2">
        <v>132.57</v>
      </c>
      <c r="H30" s="1">
        <f t="shared" si="0"/>
        <v>43069</v>
      </c>
      <c r="I30">
        <f t="shared" si="1"/>
        <v>24.993863013698629</v>
      </c>
      <c r="K30" s="2">
        <f t="shared" si="2"/>
        <v>0.17438143719663785</v>
      </c>
    </row>
    <row r="31" spans="1:17" x14ac:dyDescent="0.25">
      <c r="A31" t="s">
        <v>41</v>
      </c>
      <c r="B31" s="1">
        <v>43070</v>
      </c>
      <c r="C31" s="1">
        <v>43101</v>
      </c>
      <c r="D31">
        <v>851.8</v>
      </c>
      <c r="E31" t="s">
        <v>30</v>
      </c>
      <c r="F31" s="2">
        <v>149.91999999999999</v>
      </c>
      <c r="H31" s="1">
        <f t="shared" si="0"/>
        <v>43101</v>
      </c>
      <c r="I31">
        <f t="shared" si="1"/>
        <v>28.004383561643834</v>
      </c>
      <c r="J31">
        <f t="shared" ref="J31:J64" si="3">I31</f>
        <v>28.004383561643834</v>
      </c>
      <c r="K31" s="2">
        <f t="shared" si="2"/>
        <v>0.17600375675041088</v>
      </c>
      <c r="Q31" t="s">
        <v>27</v>
      </c>
    </row>
    <row r="32" spans="1:17" x14ac:dyDescent="0.25">
      <c r="A32" t="s">
        <v>41</v>
      </c>
      <c r="B32" s="1">
        <v>43102</v>
      </c>
      <c r="C32" s="1">
        <v>43130</v>
      </c>
      <c r="D32">
        <v>807.02</v>
      </c>
      <c r="E32" t="s">
        <v>30</v>
      </c>
      <c r="F32" s="2">
        <v>144.09</v>
      </c>
      <c r="H32" s="1">
        <f t="shared" si="0"/>
        <v>43130</v>
      </c>
      <c r="I32">
        <f t="shared" si="1"/>
        <v>26.532164383561643</v>
      </c>
      <c r="J32">
        <f t="shared" si="3"/>
        <v>26.532164383561643</v>
      </c>
      <c r="K32" s="2">
        <f t="shared" si="2"/>
        <v>0.17854576094768407</v>
      </c>
      <c r="L32" t="s">
        <v>15</v>
      </c>
      <c r="M32">
        <v>807.02</v>
      </c>
      <c r="N32">
        <v>627.46</v>
      </c>
      <c r="O32">
        <v>541.55999999999995</v>
      </c>
      <c r="Q32">
        <f t="shared" ref="Q32:Q37" si="4">AVERAGE(M32:O32)</f>
        <v>658.68</v>
      </c>
    </row>
    <row r="33" spans="1:17" x14ac:dyDescent="0.25">
      <c r="A33" t="s">
        <v>41</v>
      </c>
      <c r="B33" s="1">
        <v>43131</v>
      </c>
      <c r="C33" s="1">
        <v>43160</v>
      </c>
      <c r="D33">
        <v>617.58000000000004</v>
      </c>
      <c r="E33" t="s">
        <v>30</v>
      </c>
      <c r="F33" s="2">
        <v>103.78</v>
      </c>
      <c r="H33" s="1">
        <f t="shared" si="0"/>
        <v>43160</v>
      </c>
      <c r="I33">
        <f t="shared" si="1"/>
        <v>20.304000000000002</v>
      </c>
      <c r="J33">
        <f t="shared" si="3"/>
        <v>20.304000000000002</v>
      </c>
      <c r="K33" s="2">
        <f t="shared" si="2"/>
        <v>0.16804300657404708</v>
      </c>
      <c r="L33" t="s">
        <v>16</v>
      </c>
      <c r="M33">
        <v>617.58000000000004</v>
      </c>
      <c r="N33">
        <v>561.66999999999996</v>
      </c>
      <c r="O33">
        <v>303.36</v>
      </c>
      <c r="Q33">
        <f t="shared" si="4"/>
        <v>494.20333333333338</v>
      </c>
    </row>
    <row r="34" spans="1:17" x14ac:dyDescent="0.25">
      <c r="A34" t="s">
        <v>41</v>
      </c>
      <c r="B34" s="1">
        <v>43161</v>
      </c>
      <c r="C34" s="1">
        <v>43191</v>
      </c>
      <c r="D34">
        <v>678.44</v>
      </c>
      <c r="E34" t="s">
        <v>30</v>
      </c>
      <c r="F34" s="2">
        <v>116.48</v>
      </c>
      <c r="H34" s="1">
        <f t="shared" si="0"/>
        <v>43191</v>
      </c>
      <c r="I34">
        <f t="shared" si="1"/>
        <v>22.304876712328767</v>
      </c>
      <c r="J34">
        <f t="shared" si="3"/>
        <v>22.304876712328767</v>
      </c>
      <c r="K34" s="2">
        <f t="shared" si="2"/>
        <v>0.17168799009492364</v>
      </c>
      <c r="L34" t="s">
        <v>17</v>
      </c>
      <c r="M34">
        <v>678.44</v>
      </c>
      <c r="N34">
        <v>469.67</v>
      </c>
      <c r="O34">
        <v>397.01</v>
      </c>
      <c r="Q34">
        <f t="shared" si="4"/>
        <v>515.04000000000008</v>
      </c>
    </row>
    <row r="35" spans="1:17" x14ac:dyDescent="0.25">
      <c r="A35" t="s">
        <v>41</v>
      </c>
      <c r="B35" s="1">
        <v>43192</v>
      </c>
      <c r="C35" s="1">
        <v>43221</v>
      </c>
      <c r="D35">
        <v>561.86</v>
      </c>
      <c r="E35" t="s">
        <v>30</v>
      </c>
      <c r="F35" s="2">
        <v>93.31</v>
      </c>
      <c r="H35" s="1">
        <f t="shared" si="0"/>
        <v>43221</v>
      </c>
      <c r="I35">
        <f t="shared" si="1"/>
        <v>18.472109589041096</v>
      </c>
      <c r="J35">
        <f t="shared" si="3"/>
        <v>18.472109589041096</v>
      </c>
      <c r="K35" s="2">
        <f t="shared" si="2"/>
        <v>0.16607339906738333</v>
      </c>
      <c r="L35" t="s">
        <v>18</v>
      </c>
      <c r="M35">
        <v>561.86</v>
      </c>
      <c r="N35">
        <v>396.58</v>
      </c>
      <c r="O35">
        <v>447.76</v>
      </c>
      <c r="Q35">
        <f t="shared" si="4"/>
        <v>468.73333333333335</v>
      </c>
    </row>
    <row r="36" spans="1:17" x14ac:dyDescent="0.25">
      <c r="A36" t="s">
        <v>41</v>
      </c>
      <c r="B36" s="1">
        <v>43222</v>
      </c>
      <c r="C36" s="1">
        <v>43251</v>
      </c>
      <c r="D36">
        <v>560.85</v>
      </c>
      <c r="E36" t="s">
        <v>30</v>
      </c>
      <c r="F36" s="2">
        <v>94.67</v>
      </c>
      <c r="H36" s="1">
        <f t="shared" si="0"/>
        <v>43251</v>
      </c>
      <c r="I36">
        <f t="shared" si="1"/>
        <v>18.438904109589043</v>
      </c>
      <c r="J36">
        <f t="shared" si="3"/>
        <v>18.438904109589043</v>
      </c>
      <c r="K36" s="2">
        <f t="shared" si="2"/>
        <v>0.16879736114825711</v>
      </c>
      <c r="L36" t="s">
        <v>19</v>
      </c>
      <c r="M36">
        <v>560.85</v>
      </c>
      <c r="N36">
        <v>395.01</v>
      </c>
      <c r="O36">
        <v>427.62</v>
      </c>
      <c r="Q36">
        <f t="shared" si="4"/>
        <v>461.16</v>
      </c>
    </row>
    <row r="37" spans="1:17" x14ac:dyDescent="0.25">
      <c r="A37" t="s">
        <v>41</v>
      </c>
      <c r="B37" s="1">
        <v>43252</v>
      </c>
      <c r="C37" s="1">
        <v>43282</v>
      </c>
      <c r="D37">
        <v>497.64</v>
      </c>
      <c r="E37" t="s">
        <v>30</v>
      </c>
      <c r="F37" s="2">
        <v>80.98</v>
      </c>
      <c r="H37" s="1">
        <f t="shared" si="0"/>
        <v>43282</v>
      </c>
      <c r="I37">
        <f t="shared" si="1"/>
        <v>16.360767123287669</v>
      </c>
      <c r="J37">
        <f t="shared" si="3"/>
        <v>16.360767123287669</v>
      </c>
      <c r="K37" s="2">
        <f t="shared" si="2"/>
        <v>0.16272807652117999</v>
      </c>
      <c r="L37" t="s">
        <v>20</v>
      </c>
      <c r="M37">
        <v>497.64</v>
      </c>
      <c r="N37">
        <v>389.8</v>
      </c>
      <c r="O37">
        <v>406.29</v>
      </c>
      <c r="Q37">
        <f t="shared" si="4"/>
        <v>431.24333333333334</v>
      </c>
    </row>
    <row r="38" spans="1:17" x14ac:dyDescent="0.25">
      <c r="A38" t="s">
        <v>41</v>
      </c>
      <c r="B38" s="1">
        <v>43283</v>
      </c>
      <c r="C38" s="1">
        <v>43312</v>
      </c>
      <c r="D38">
        <v>478.57</v>
      </c>
      <c r="E38" t="s">
        <v>30</v>
      </c>
      <c r="F38" s="2">
        <v>89.16</v>
      </c>
      <c r="H38" s="1">
        <f t="shared" si="0"/>
        <v>43312</v>
      </c>
      <c r="I38">
        <f t="shared" si="1"/>
        <v>15.733808219178082</v>
      </c>
      <c r="J38">
        <f t="shared" si="3"/>
        <v>15.733808219178082</v>
      </c>
      <c r="K38" s="2">
        <f t="shared" si="2"/>
        <v>0.18630503374636939</v>
      </c>
      <c r="L38" t="s">
        <v>21</v>
      </c>
      <c r="M38">
        <v>478.57</v>
      </c>
      <c r="N38">
        <v>334.64</v>
      </c>
      <c r="O38">
        <v>321.26</v>
      </c>
      <c r="P38">
        <v>412.52</v>
      </c>
      <c r="Q38">
        <f>AVERAGE(M38:P38)</f>
        <v>386.7475</v>
      </c>
    </row>
    <row r="39" spans="1:17" x14ac:dyDescent="0.25">
      <c r="A39" t="s">
        <v>41</v>
      </c>
      <c r="B39" s="1">
        <v>43313</v>
      </c>
      <c r="C39" s="1">
        <v>43342</v>
      </c>
      <c r="D39">
        <v>311.81</v>
      </c>
      <c r="E39" t="s">
        <v>30</v>
      </c>
      <c r="F39" s="2">
        <v>48.94</v>
      </c>
      <c r="H39" s="1">
        <f t="shared" ref="H39:H70" si="5">C39</f>
        <v>43342</v>
      </c>
      <c r="I39">
        <f t="shared" ref="I39:I70" si="6">D39/(365/12)</f>
        <v>10.251287671232877</v>
      </c>
      <c r="J39">
        <f t="shared" si="3"/>
        <v>10.251287671232877</v>
      </c>
      <c r="K39" s="2">
        <f t="shared" ref="K39:K70" si="7">F39/D39</f>
        <v>0.15695455565889482</v>
      </c>
      <c r="L39" t="s">
        <v>22</v>
      </c>
      <c r="M39">
        <v>311.81</v>
      </c>
      <c r="N39">
        <v>419.41</v>
      </c>
      <c r="O39">
        <v>594.9</v>
      </c>
      <c r="P39">
        <v>432.75</v>
      </c>
      <c r="Q39">
        <f>AVERAGE(M39:P39)</f>
        <v>439.71749999999997</v>
      </c>
    </row>
    <row r="40" spans="1:17" x14ac:dyDescent="0.25">
      <c r="A40" t="s">
        <v>41</v>
      </c>
      <c r="B40" s="1">
        <v>43343</v>
      </c>
      <c r="C40" s="1">
        <v>43374</v>
      </c>
      <c r="D40">
        <v>458.47</v>
      </c>
      <c r="E40" t="s">
        <v>30</v>
      </c>
      <c r="F40" s="2">
        <v>83.91</v>
      </c>
      <c r="H40" s="1">
        <f t="shared" si="5"/>
        <v>43374</v>
      </c>
      <c r="I40">
        <f t="shared" si="6"/>
        <v>15.072986301369863</v>
      </c>
      <c r="J40">
        <f t="shared" si="3"/>
        <v>15.072986301369863</v>
      </c>
      <c r="K40" s="2">
        <f t="shared" si="7"/>
        <v>0.18302178986629439</v>
      </c>
      <c r="L40" t="s">
        <v>23</v>
      </c>
      <c r="M40">
        <v>458.47</v>
      </c>
      <c r="N40">
        <v>346.53</v>
      </c>
      <c r="O40">
        <v>536.25</v>
      </c>
      <c r="P40">
        <v>704.09</v>
      </c>
      <c r="Q40">
        <f>AVERAGE(M40:P40)</f>
        <v>511.33500000000004</v>
      </c>
    </row>
    <row r="41" spans="1:17" x14ac:dyDescent="0.25">
      <c r="A41" t="s">
        <v>41</v>
      </c>
      <c r="B41" s="1">
        <v>43375</v>
      </c>
      <c r="C41" s="1">
        <v>43404</v>
      </c>
      <c r="D41">
        <v>457.89</v>
      </c>
      <c r="E41" t="s">
        <v>30</v>
      </c>
      <c r="F41" s="2">
        <v>71.760000000000005</v>
      </c>
      <c r="H41" s="1">
        <f t="shared" si="5"/>
        <v>43404</v>
      </c>
      <c r="I41">
        <f t="shared" si="6"/>
        <v>15.053917808219177</v>
      </c>
      <c r="J41">
        <f t="shared" si="3"/>
        <v>15.053917808219177</v>
      </c>
      <c r="K41" s="2">
        <f t="shared" si="7"/>
        <v>0.15671886260892356</v>
      </c>
      <c r="L41" t="s">
        <v>24</v>
      </c>
      <c r="M41">
        <v>457.89</v>
      </c>
      <c r="N41">
        <v>329.92</v>
      </c>
      <c r="P41">
        <v>465.65</v>
      </c>
      <c r="Q41">
        <f>AVERAGE(M41,N41,P41)</f>
        <v>417.82</v>
      </c>
    </row>
    <row r="42" spans="1:17" x14ac:dyDescent="0.25">
      <c r="A42" t="s">
        <v>41</v>
      </c>
      <c r="B42" s="1">
        <v>43405</v>
      </c>
      <c r="C42" s="1">
        <v>43436</v>
      </c>
      <c r="D42">
        <v>678.09</v>
      </c>
      <c r="E42" t="s">
        <v>30</v>
      </c>
      <c r="F42" s="2">
        <v>117.76</v>
      </c>
      <c r="H42" s="1">
        <f t="shared" si="5"/>
        <v>43436</v>
      </c>
      <c r="I42">
        <f t="shared" si="6"/>
        <v>22.293369863013698</v>
      </c>
      <c r="J42">
        <f t="shared" si="3"/>
        <v>22.293369863013698</v>
      </c>
      <c r="K42" s="2">
        <f t="shared" si="7"/>
        <v>0.17366426285596306</v>
      </c>
      <c r="L42" t="s">
        <v>25</v>
      </c>
      <c r="M42">
        <v>678.09</v>
      </c>
      <c r="N42">
        <v>535.45000000000005</v>
      </c>
      <c r="P42">
        <v>722.47</v>
      </c>
      <c r="Q42">
        <f>AVERAGE(M42,N42,P42)</f>
        <v>645.3366666666667</v>
      </c>
    </row>
    <row r="43" spans="1:17" x14ac:dyDescent="0.25">
      <c r="A43" t="s">
        <v>41</v>
      </c>
      <c r="B43" s="1">
        <v>43437</v>
      </c>
      <c r="C43" s="1">
        <v>43467</v>
      </c>
      <c r="D43">
        <v>723.17</v>
      </c>
      <c r="E43" t="s">
        <v>30</v>
      </c>
      <c r="F43" s="2">
        <v>128.16</v>
      </c>
      <c r="H43" s="1">
        <f t="shared" si="5"/>
        <v>43467</v>
      </c>
      <c r="I43">
        <f t="shared" si="6"/>
        <v>23.775452054794517</v>
      </c>
      <c r="J43">
        <f t="shared" si="3"/>
        <v>23.775452054794517</v>
      </c>
      <c r="K43" s="2">
        <f t="shared" si="7"/>
        <v>0.17721974086314421</v>
      </c>
      <c r="L43" t="s">
        <v>26</v>
      </c>
      <c r="M43">
        <v>723.17</v>
      </c>
      <c r="N43">
        <v>538.58000000000004</v>
      </c>
      <c r="Q43">
        <f>AVERAGE(M43:N43)</f>
        <v>630.875</v>
      </c>
    </row>
    <row r="44" spans="1:17" x14ac:dyDescent="0.25">
      <c r="A44" t="s">
        <v>41</v>
      </c>
      <c r="B44" s="1">
        <v>43468</v>
      </c>
      <c r="C44" s="1">
        <v>43496</v>
      </c>
      <c r="D44">
        <v>627.46</v>
      </c>
      <c r="E44" t="s">
        <v>30</v>
      </c>
      <c r="F44" s="2">
        <v>106.16</v>
      </c>
      <c r="H44" s="1">
        <f t="shared" si="5"/>
        <v>43496</v>
      </c>
      <c r="I44">
        <f t="shared" si="6"/>
        <v>20.628821917808221</v>
      </c>
      <c r="J44">
        <f t="shared" si="3"/>
        <v>20.628821917808221</v>
      </c>
      <c r="K44" s="2">
        <f t="shared" si="7"/>
        <v>0.16919006789277402</v>
      </c>
    </row>
    <row r="45" spans="1:17" x14ac:dyDescent="0.25">
      <c r="A45" t="s">
        <v>41</v>
      </c>
      <c r="B45" s="1">
        <v>43497</v>
      </c>
      <c r="C45" s="1">
        <v>43528</v>
      </c>
      <c r="D45">
        <v>561.66999999999996</v>
      </c>
      <c r="E45" t="s">
        <v>30</v>
      </c>
      <c r="F45" s="2">
        <v>89.59</v>
      </c>
      <c r="H45" s="1">
        <f t="shared" si="5"/>
        <v>43528</v>
      </c>
      <c r="I45">
        <f t="shared" si="6"/>
        <v>18.465863013698627</v>
      </c>
      <c r="J45">
        <f t="shared" si="3"/>
        <v>18.465863013698627</v>
      </c>
      <c r="K45" s="2">
        <f t="shared" si="7"/>
        <v>0.1595064717716809</v>
      </c>
    </row>
    <row r="46" spans="1:17" x14ac:dyDescent="0.25">
      <c r="A46" t="s">
        <v>41</v>
      </c>
      <c r="B46" s="1">
        <v>43529</v>
      </c>
      <c r="C46" s="1">
        <v>43557</v>
      </c>
      <c r="D46">
        <v>469.67</v>
      </c>
      <c r="E46" t="s">
        <v>30</v>
      </c>
      <c r="F46" s="2">
        <v>72.930000000000007</v>
      </c>
      <c r="H46" s="1">
        <f t="shared" si="5"/>
        <v>43557</v>
      </c>
      <c r="I46">
        <f t="shared" si="6"/>
        <v>15.441205479452055</v>
      </c>
      <c r="J46">
        <f t="shared" si="3"/>
        <v>15.441205479452055</v>
      </c>
      <c r="K46" s="2">
        <f t="shared" si="7"/>
        <v>0.15527923861434625</v>
      </c>
    </row>
    <row r="47" spans="1:17" x14ac:dyDescent="0.25">
      <c r="A47" t="s">
        <v>41</v>
      </c>
      <c r="B47" s="1">
        <v>43558</v>
      </c>
      <c r="C47" s="1">
        <v>43587</v>
      </c>
      <c r="D47">
        <v>396.58</v>
      </c>
      <c r="E47" t="s">
        <v>30</v>
      </c>
      <c r="F47" s="2">
        <v>58.03</v>
      </c>
      <c r="H47" s="1">
        <f t="shared" si="5"/>
        <v>43587</v>
      </c>
      <c r="I47">
        <f t="shared" si="6"/>
        <v>13.038246575342464</v>
      </c>
      <c r="J47">
        <f t="shared" si="3"/>
        <v>13.038246575342464</v>
      </c>
      <c r="K47" s="2">
        <f t="shared" si="7"/>
        <v>0.14632608805285188</v>
      </c>
    </row>
    <row r="48" spans="1:17" x14ac:dyDescent="0.25">
      <c r="A48" t="s">
        <v>41</v>
      </c>
      <c r="B48" s="1">
        <v>43588</v>
      </c>
      <c r="C48" s="1">
        <v>43619</v>
      </c>
      <c r="D48">
        <v>395.01</v>
      </c>
      <c r="E48" t="s">
        <v>30</v>
      </c>
      <c r="F48" s="2">
        <v>57.75</v>
      </c>
      <c r="H48" s="1">
        <f t="shared" si="5"/>
        <v>43619</v>
      </c>
      <c r="I48">
        <f t="shared" si="6"/>
        <v>12.986630136986301</v>
      </c>
      <c r="J48">
        <f t="shared" si="3"/>
        <v>12.986630136986301</v>
      </c>
      <c r="K48" s="2">
        <f t="shared" si="7"/>
        <v>0.14619883040935672</v>
      </c>
    </row>
    <row r="49" spans="1:11" x14ac:dyDescent="0.25">
      <c r="A49" t="s">
        <v>41</v>
      </c>
      <c r="B49" s="1">
        <v>43620</v>
      </c>
      <c r="C49" s="1">
        <v>43648</v>
      </c>
      <c r="D49">
        <v>389.8</v>
      </c>
      <c r="E49" t="s">
        <v>30</v>
      </c>
      <c r="F49" s="2">
        <v>71.400000000000006</v>
      </c>
      <c r="H49" s="1">
        <f t="shared" si="5"/>
        <v>43648</v>
      </c>
      <c r="I49">
        <f t="shared" si="6"/>
        <v>12.815342465753425</v>
      </c>
      <c r="J49">
        <f t="shared" si="3"/>
        <v>12.815342465753425</v>
      </c>
      <c r="K49" s="2">
        <f t="shared" si="7"/>
        <v>0.1831708568496665</v>
      </c>
    </row>
    <row r="50" spans="1:11" x14ac:dyDescent="0.25">
      <c r="A50" t="s">
        <v>41</v>
      </c>
      <c r="B50" s="1">
        <v>43649</v>
      </c>
      <c r="C50" s="1">
        <v>43678</v>
      </c>
      <c r="D50">
        <v>334.64</v>
      </c>
      <c r="E50" t="s">
        <v>30</v>
      </c>
      <c r="F50" s="2">
        <v>53.35</v>
      </c>
      <c r="H50" s="1">
        <f t="shared" si="5"/>
        <v>43678</v>
      </c>
      <c r="I50">
        <f t="shared" si="6"/>
        <v>11.00186301369863</v>
      </c>
      <c r="J50">
        <f t="shared" si="3"/>
        <v>11.00186301369863</v>
      </c>
      <c r="K50" s="2">
        <f t="shared" si="7"/>
        <v>0.15942505378914656</v>
      </c>
    </row>
    <row r="51" spans="1:11" x14ac:dyDescent="0.25">
      <c r="A51" t="s">
        <v>41</v>
      </c>
      <c r="B51" s="1">
        <v>43679</v>
      </c>
      <c r="C51" s="1">
        <v>43711</v>
      </c>
      <c r="D51">
        <v>419.41</v>
      </c>
      <c r="E51" t="s">
        <v>30</v>
      </c>
      <c r="F51" s="2">
        <v>70.73</v>
      </c>
      <c r="H51" s="1">
        <f t="shared" si="5"/>
        <v>43711</v>
      </c>
      <c r="I51">
        <f t="shared" si="6"/>
        <v>13.788821917808219</v>
      </c>
      <c r="J51">
        <f t="shared" si="3"/>
        <v>13.788821917808219</v>
      </c>
      <c r="K51" s="2">
        <f t="shared" si="7"/>
        <v>0.16864166328890584</v>
      </c>
    </row>
    <row r="52" spans="1:11" x14ac:dyDescent="0.25">
      <c r="A52" t="s">
        <v>41</v>
      </c>
      <c r="B52" s="1">
        <v>43712</v>
      </c>
      <c r="C52" s="1">
        <v>43740</v>
      </c>
      <c r="D52">
        <v>346.53</v>
      </c>
      <c r="E52" t="s">
        <v>30</v>
      </c>
      <c r="F52" s="2">
        <v>57.7</v>
      </c>
      <c r="H52" s="1">
        <f t="shared" si="5"/>
        <v>43740</v>
      </c>
      <c r="I52">
        <f t="shared" si="6"/>
        <v>11.392767123287669</v>
      </c>
      <c r="J52">
        <f t="shared" si="3"/>
        <v>11.392767123287669</v>
      </c>
      <c r="K52" s="2">
        <f t="shared" si="7"/>
        <v>0.16650795024961765</v>
      </c>
    </row>
    <row r="53" spans="1:11" x14ac:dyDescent="0.25">
      <c r="A53" t="s">
        <v>41</v>
      </c>
      <c r="B53" s="1">
        <v>43741</v>
      </c>
      <c r="C53" s="1">
        <v>43769</v>
      </c>
      <c r="D53">
        <v>329.92</v>
      </c>
      <c r="E53" t="s">
        <v>30</v>
      </c>
      <c r="F53" s="2">
        <v>43.69</v>
      </c>
      <c r="H53" s="1">
        <f t="shared" si="5"/>
        <v>43769</v>
      </c>
      <c r="I53">
        <f t="shared" si="6"/>
        <v>10.84668493150685</v>
      </c>
      <c r="J53">
        <f t="shared" si="3"/>
        <v>10.84668493150685</v>
      </c>
      <c r="K53" s="2">
        <f t="shared" si="7"/>
        <v>0.13242604267701261</v>
      </c>
    </row>
    <row r="54" spans="1:11" x14ac:dyDescent="0.25">
      <c r="A54" t="s">
        <v>41</v>
      </c>
      <c r="B54" s="1">
        <v>43770</v>
      </c>
      <c r="C54" s="1">
        <v>43802</v>
      </c>
      <c r="D54">
        <v>535.45000000000005</v>
      </c>
      <c r="E54" t="s">
        <v>30</v>
      </c>
      <c r="F54" s="2">
        <v>83.21</v>
      </c>
      <c r="H54" s="1">
        <f t="shared" si="5"/>
        <v>43802</v>
      </c>
      <c r="I54">
        <f t="shared" si="6"/>
        <v>17.603835616438356</v>
      </c>
      <c r="J54">
        <f t="shared" si="3"/>
        <v>17.603835616438356</v>
      </c>
      <c r="K54" s="2">
        <f t="shared" si="7"/>
        <v>0.15540199831917076</v>
      </c>
    </row>
    <row r="55" spans="1:11" x14ac:dyDescent="0.25">
      <c r="A55" t="s">
        <v>41</v>
      </c>
      <c r="B55" s="1">
        <v>43803</v>
      </c>
      <c r="C55" s="1">
        <v>43832</v>
      </c>
      <c r="D55">
        <v>538.58000000000004</v>
      </c>
      <c r="E55" t="s">
        <v>30</v>
      </c>
      <c r="F55" s="2">
        <v>86.79</v>
      </c>
      <c r="H55" s="1">
        <f t="shared" si="5"/>
        <v>43832</v>
      </c>
      <c r="I55">
        <f t="shared" si="6"/>
        <v>17.706739726027397</v>
      </c>
      <c r="J55">
        <f t="shared" si="3"/>
        <v>17.706739726027397</v>
      </c>
      <c r="K55" s="2">
        <f t="shared" si="7"/>
        <v>0.16114597645660811</v>
      </c>
    </row>
    <row r="56" spans="1:11" x14ac:dyDescent="0.25">
      <c r="A56" t="s">
        <v>41</v>
      </c>
      <c r="B56" s="1">
        <v>43833</v>
      </c>
      <c r="C56" s="1">
        <v>43863</v>
      </c>
      <c r="D56">
        <v>541.55999999999995</v>
      </c>
      <c r="E56" t="s">
        <v>30</v>
      </c>
      <c r="F56" s="2">
        <v>89.92</v>
      </c>
      <c r="H56" s="1">
        <f t="shared" si="5"/>
        <v>43863</v>
      </c>
      <c r="I56">
        <f t="shared" si="6"/>
        <v>17.804712328767121</v>
      </c>
      <c r="J56">
        <f t="shared" si="3"/>
        <v>17.804712328767121</v>
      </c>
      <c r="K56" s="2">
        <f t="shared" si="7"/>
        <v>0.16603885072752791</v>
      </c>
    </row>
    <row r="57" spans="1:11" x14ac:dyDescent="0.25">
      <c r="A57" t="s">
        <v>41</v>
      </c>
      <c r="B57" s="1">
        <v>43864</v>
      </c>
      <c r="C57" s="1">
        <v>43893</v>
      </c>
      <c r="D57">
        <v>303.36</v>
      </c>
      <c r="E57" t="s">
        <v>30</v>
      </c>
      <c r="F57" s="2">
        <v>40.380000000000003</v>
      </c>
      <c r="H57" s="1">
        <f t="shared" si="5"/>
        <v>43893</v>
      </c>
      <c r="I57">
        <f t="shared" si="6"/>
        <v>9.9734794520547947</v>
      </c>
      <c r="J57">
        <f t="shared" si="3"/>
        <v>9.9734794520547947</v>
      </c>
      <c r="K57" s="2">
        <f t="shared" si="7"/>
        <v>0.13310917721518989</v>
      </c>
    </row>
    <row r="58" spans="1:11" x14ac:dyDescent="0.25">
      <c r="A58" t="s">
        <v>41</v>
      </c>
      <c r="B58" s="1">
        <v>43894</v>
      </c>
      <c r="C58" s="1">
        <v>43922</v>
      </c>
      <c r="D58">
        <v>397.01</v>
      </c>
      <c r="E58" t="s">
        <v>30</v>
      </c>
      <c r="F58" s="2">
        <v>58.28</v>
      </c>
      <c r="H58" s="1">
        <f t="shared" si="5"/>
        <v>43922</v>
      </c>
      <c r="I58">
        <f t="shared" si="6"/>
        <v>13.052383561643834</v>
      </c>
      <c r="J58">
        <f t="shared" si="3"/>
        <v>13.052383561643834</v>
      </c>
      <c r="K58" s="2">
        <f t="shared" si="7"/>
        <v>0.14679730989143852</v>
      </c>
    </row>
    <row r="59" spans="1:11" x14ac:dyDescent="0.25">
      <c r="A59" t="s">
        <v>41</v>
      </c>
      <c r="B59" s="1">
        <v>43923</v>
      </c>
      <c r="C59" s="1">
        <v>43954</v>
      </c>
      <c r="D59">
        <v>447.76</v>
      </c>
      <c r="E59" t="s">
        <v>30</v>
      </c>
      <c r="F59" s="2">
        <v>67.16</v>
      </c>
      <c r="H59" s="1">
        <f t="shared" si="5"/>
        <v>43954</v>
      </c>
      <c r="I59">
        <f t="shared" si="6"/>
        <v>14.720876712328765</v>
      </c>
      <c r="J59">
        <f t="shared" si="3"/>
        <v>14.720876712328765</v>
      </c>
      <c r="K59" s="2">
        <f t="shared" si="7"/>
        <v>0.14999106664284437</v>
      </c>
    </row>
    <row r="60" spans="1:11" x14ac:dyDescent="0.25">
      <c r="A60" t="s">
        <v>41</v>
      </c>
      <c r="B60" s="1">
        <v>43955</v>
      </c>
      <c r="C60" s="1">
        <v>43984</v>
      </c>
      <c r="D60">
        <v>427.62</v>
      </c>
      <c r="E60" t="s">
        <v>30</v>
      </c>
      <c r="F60" s="2">
        <v>72.36</v>
      </c>
      <c r="H60" s="1">
        <f t="shared" si="5"/>
        <v>43984</v>
      </c>
      <c r="I60">
        <f t="shared" si="6"/>
        <v>14.058739726027397</v>
      </c>
      <c r="J60">
        <f t="shared" si="3"/>
        <v>14.058739726027397</v>
      </c>
      <c r="K60" s="2">
        <f t="shared" si="7"/>
        <v>0.16921565876245265</v>
      </c>
    </row>
    <row r="61" spans="1:11" x14ac:dyDescent="0.25">
      <c r="A61" t="s">
        <v>41</v>
      </c>
      <c r="B61" s="1">
        <v>43985</v>
      </c>
      <c r="C61" s="1">
        <v>44013</v>
      </c>
      <c r="D61">
        <v>406.29</v>
      </c>
      <c r="E61" t="s">
        <v>30</v>
      </c>
      <c r="F61" s="2">
        <v>85.2</v>
      </c>
      <c r="H61" s="1">
        <f t="shared" si="5"/>
        <v>44013</v>
      </c>
      <c r="I61">
        <f t="shared" si="6"/>
        <v>13.357479452054795</v>
      </c>
      <c r="J61">
        <f t="shared" si="3"/>
        <v>13.357479452054795</v>
      </c>
      <c r="K61" s="2">
        <f t="shared" si="7"/>
        <v>0.20970242929926899</v>
      </c>
    </row>
    <row r="62" spans="1:11" x14ac:dyDescent="0.25">
      <c r="A62" t="s">
        <v>41</v>
      </c>
      <c r="B62" s="1">
        <v>44014</v>
      </c>
      <c r="C62" s="1">
        <v>44042</v>
      </c>
      <c r="D62">
        <v>321.26</v>
      </c>
      <c r="E62" t="s">
        <v>30</v>
      </c>
      <c r="F62" s="2">
        <v>61.97</v>
      </c>
      <c r="H62" s="1">
        <f t="shared" si="5"/>
        <v>44042</v>
      </c>
      <c r="I62">
        <f t="shared" si="6"/>
        <v>10.561972602739726</v>
      </c>
      <c r="J62">
        <f t="shared" si="3"/>
        <v>10.561972602739726</v>
      </c>
      <c r="K62" s="2">
        <f t="shared" si="7"/>
        <v>0.19289671916827492</v>
      </c>
    </row>
    <row r="63" spans="1:11" x14ac:dyDescent="0.25">
      <c r="A63" t="s">
        <v>41</v>
      </c>
      <c r="B63" s="1">
        <v>44043</v>
      </c>
      <c r="C63" s="1">
        <v>44074</v>
      </c>
      <c r="D63">
        <v>594.9</v>
      </c>
      <c r="E63" t="s">
        <v>30</v>
      </c>
      <c r="F63" s="2">
        <v>133.69</v>
      </c>
      <c r="H63" s="1">
        <f t="shared" si="5"/>
        <v>44074</v>
      </c>
      <c r="I63">
        <f t="shared" si="6"/>
        <v>19.558356164383561</v>
      </c>
      <c r="J63">
        <f t="shared" si="3"/>
        <v>19.558356164383561</v>
      </c>
      <c r="K63" s="2">
        <f t="shared" si="7"/>
        <v>0.22472684484787359</v>
      </c>
    </row>
    <row r="64" spans="1:11" x14ac:dyDescent="0.25">
      <c r="A64" t="s">
        <v>41</v>
      </c>
      <c r="B64" s="1">
        <v>44075</v>
      </c>
      <c r="C64" s="1">
        <v>44104</v>
      </c>
      <c r="D64">
        <v>536.25</v>
      </c>
      <c r="E64" t="s">
        <v>30</v>
      </c>
      <c r="F64" s="2">
        <v>119.43</v>
      </c>
      <c r="H64" s="1">
        <f t="shared" si="5"/>
        <v>44104</v>
      </c>
      <c r="I64">
        <f t="shared" si="6"/>
        <v>17.63013698630137</v>
      </c>
      <c r="J64">
        <f t="shared" si="3"/>
        <v>17.63013698630137</v>
      </c>
      <c r="K64" s="2">
        <f t="shared" si="7"/>
        <v>0.22271328671328672</v>
      </c>
    </row>
    <row r="65" spans="1:11" x14ac:dyDescent="0.25">
      <c r="A65" t="s">
        <v>41</v>
      </c>
      <c r="B65" s="1">
        <v>44105</v>
      </c>
      <c r="C65" s="1">
        <v>44136</v>
      </c>
      <c r="D65">
        <v>394.07</v>
      </c>
      <c r="E65" t="s">
        <v>30</v>
      </c>
      <c r="F65" s="2">
        <v>61.9</v>
      </c>
      <c r="H65" s="1">
        <f t="shared" si="5"/>
        <v>44136</v>
      </c>
      <c r="I65">
        <f t="shared" si="6"/>
        <v>12.95572602739726</v>
      </c>
      <c r="K65" s="2">
        <f t="shared" si="7"/>
        <v>0.15707869160301469</v>
      </c>
    </row>
    <row r="66" spans="1:11" x14ac:dyDescent="0.25">
      <c r="A66" t="s">
        <v>41</v>
      </c>
      <c r="B66" s="1">
        <v>44137</v>
      </c>
      <c r="C66" s="1">
        <v>44167</v>
      </c>
      <c r="D66">
        <v>472.69</v>
      </c>
      <c r="E66" t="s">
        <v>30</v>
      </c>
      <c r="F66" s="2">
        <v>81.08</v>
      </c>
      <c r="H66" s="1">
        <f t="shared" si="5"/>
        <v>44167</v>
      </c>
      <c r="I66">
        <f t="shared" si="6"/>
        <v>15.540493150684931</v>
      </c>
      <c r="K66" s="2">
        <f t="shared" si="7"/>
        <v>0.17152890901013348</v>
      </c>
    </row>
    <row r="67" spans="1:11" x14ac:dyDescent="0.25">
      <c r="A67" t="s">
        <v>41</v>
      </c>
      <c r="B67" s="1">
        <v>44168</v>
      </c>
      <c r="C67" s="1">
        <v>44199</v>
      </c>
      <c r="D67">
        <v>673.13</v>
      </c>
      <c r="E67" t="s">
        <v>30</v>
      </c>
      <c r="F67" s="2">
        <v>127.41</v>
      </c>
      <c r="H67" s="1">
        <f t="shared" si="5"/>
        <v>44199</v>
      </c>
      <c r="I67">
        <f t="shared" si="6"/>
        <v>22.130301369863012</v>
      </c>
      <c r="K67" s="2">
        <f t="shared" si="7"/>
        <v>0.18927993106829288</v>
      </c>
    </row>
    <row r="68" spans="1:11" x14ac:dyDescent="0.25">
      <c r="A68" t="s">
        <v>41</v>
      </c>
      <c r="B68" s="1">
        <v>44200</v>
      </c>
      <c r="C68" s="1">
        <v>44228</v>
      </c>
      <c r="D68">
        <v>375.51</v>
      </c>
      <c r="E68" t="s">
        <v>30</v>
      </c>
      <c r="F68" s="2">
        <v>67.14</v>
      </c>
      <c r="H68" s="1">
        <f t="shared" si="5"/>
        <v>44228</v>
      </c>
      <c r="I68">
        <f t="shared" si="6"/>
        <v>12.345534246575342</v>
      </c>
      <c r="K68" s="2">
        <f t="shared" si="7"/>
        <v>0.17879683630262844</v>
      </c>
    </row>
    <row r="69" spans="1:11" x14ac:dyDescent="0.25">
      <c r="A69" t="s">
        <v>41</v>
      </c>
      <c r="B69" s="1">
        <v>44229</v>
      </c>
      <c r="C69" s="1">
        <v>44258</v>
      </c>
      <c r="D69">
        <v>368.47</v>
      </c>
      <c r="E69" t="s">
        <v>30</v>
      </c>
      <c r="F69" s="2">
        <v>65.959999999999994</v>
      </c>
      <c r="H69" s="1">
        <f t="shared" si="5"/>
        <v>44258</v>
      </c>
      <c r="I69">
        <f t="shared" si="6"/>
        <v>12.114082191780822</v>
      </c>
      <c r="K69" s="2">
        <f t="shared" si="7"/>
        <v>0.17901050289033024</v>
      </c>
    </row>
    <row r="70" spans="1:11" x14ac:dyDescent="0.25">
      <c r="A70" t="s">
        <v>41</v>
      </c>
      <c r="B70" s="1">
        <v>44259</v>
      </c>
      <c r="C70" s="1">
        <v>44287</v>
      </c>
      <c r="D70">
        <v>399.57</v>
      </c>
      <c r="E70" t="s">
        <v>30</v>
      </c>
      <c r="F70" s="2">
        <v>77.41</v>
      </c>
      <c r="H70" s="1">
        <f t="shared" si="5"/>
        <v>44287</v>
      </c>
      <c r="I70">
        <f t="shared" si="6"/>
        <v>13.136547945205479</v>
      </c>
      <c r="K70" s="2">
        <f t="shared" si="7"/>
        <v>0.19373326325800236</v>
      </c>
    </row>
    <row r="71" spans="1:11" x14ac:dyDescent="0.25">
      <c r="A71" t="s">
        <v>41</v>
      </c>
      <c r="B71" s="1">
        <v>44288</v>
      </c>
      <c r="C71" s="1">
        <v>44319</v>
      </c>
      <c r="D71">
        <v>276.13</v>
      </c>
      <c r="E71" t="s">
        <v>30</v>
      </c>
      <c r="F71" s="2">
        <v>48.54</v>
      </c>
      <c r="H71" s="1">
        <f t="shared" ref="H71:H78" si="8">C71</f>
        <v>44319</v>
      </c>
      <c r="I71">
        <f t="shared" ref="I71:I78" si="9">D71/(365/12)</f>
        <v>9.0782465753424653</v>
      </c>
      <c r="K71" s="2">
        <f t="shared" ref="K71:K78" si="10">F71/D71</f>
        <v>0.17578676710245175</v>
      </c>
    </row>
    <row r="72" spans="1:11" x14ac:dyDescent="0.25">
      <c r="A72" t="s">
        <v>41</v>
      </c>
      <c r="B72" s="1">
        <v>44320</v>
      </c>
      <c r="C72" s="1">
        <v>44349</v>
      </c>
      <c r="D72">
        <v>146.81</v>
      </c>
      <c r="E72" t="s">
        <v>30</v>
      </c>
      <c r="F72" s="2">
        <v>25.68</v>
      </c>
      <c r="H72" s="1">
        <f t="shared" si="8"/>
        <v>44349</v>
      </c>
      <c r="I72">
        <f t="shared" si="9"/>
        <v>4.8266301369863012</v>
      </c>
      <c r="K72" s="2">
        <f t="shared" si="10"/>
        <v>0.17491996458006948</v>
      </c>
    </row>
    <row r="73" spans="1:11" x14ac:dyDescent="0.25">
      <c r="A73" t="s">
        <v>41</v>
      </c>
      <c r="B73" s="1">
        <v>44350</v>
      </c>
      <c r="C73" s="1">
        <v>44378</v>
      </c>
      <c r="D73">
        <v>375.55</v>
      </c>
      <c r="E73" t="s">
        <v>30</v>
      </c>
      <c r="F73" s="2">
        <v>88.13</v>
      </c>
      <c r="H73" s="1">
        <f t="shared" si="8"/>
        <v>44378</v>
      </c>
      <c r="I73">
        <f t="shared" si="9"/>
        <v>12.346849315068493</v>
      </c>
      <c r="K73" s="2">
        <f t="shared" si="10"/>
        <v>0.2346691519105312</v>
      </c>
    </row>
    <row r="74" spans="1:11" x14ac:dyDescent="0.25">
      <c r="A74" t="s">
        <v>41</v>
      </c>
      <c r="B74" s="1">
        <v>44379</v>
      </c>
      <c r="C74" s="1">
        <v>44410</v>
      </c>
      <c r="D74">
        <v>412.52</v>
      </c>
      <c r="E74" t="s">
        <v>30</v>
      </c>
      <c r="F74" s="2">
        <v>97.44</v>
      </c>
      <c r="H74" s="1">
        <f t="shared" si="8"/>
        <v>44410</v>
      </c>
      <c r="I74">
        <f t="shared" si="9"/>
        <v>13.562301369863013</v>
      </c>
      <c r="J74">
        <f>I74</f>
        <v>13.562301369863013</v>
      </c>
      <c r="K74" s="2">
        <f t="shared" si="10"/>
        <v>0.23620672937069717</v>
      </c>
    </row>
    <row r="75" spans="1:11" x14ac:dyDescent="0.25">
      <c r="A75" t="s">
        <v>41</v>
      </c>
      <c r="B75" s="1">
        <v>44411</v>
      </c>
      <c r="C75" s="1">
        <v>44440</v>
      </c>
      <c r="D75">
        <v>432.75</v>
      </c>
      <c r="E75" t="s">
        <v>30</v>
      </c>
      <c r="F75" s="2">
        <v>104.9</v>
      </c>
      <c r="H75" s="1">
        <f t="shared" si="8"/>
        <v>44440</v>
      </c>
      <c r="I75">
        <f t="shared" si="9"/>
        <v>14.227397260273973</v>
      </c>
      <c r="J75">
        <f>I75</f>
        <v>14.227397260273973</v>
      </c>
      <c r="K75" s="2">
        <f t="shared" si="10"/>
        <v>0.24240323512420567</v>
      </c>
    </row>
    <row r="76" spans="1:11" x14ac:dyDescent="0.25">
      <c r="A76" t="s">
        <v>41</v>
      </c>
      <c r="B76" s="1">
        <v>44441</v>
      </c>
      <c r="C76" s="1">
        <v>44472</v>
      </c>
      <c r="D76">
        <v>704.09</v>
      </c>
      <c r="E76" t="s">
        <v>30</v>
      </c>
      <c r="F76" s="2">
        <v>179.67</v>
      </c>
      <c r="H76" s="1">
        <f t="shared" si="8"/>
        <v>44472</v>
      </c>
      <c r="I76">
        <f t="shared" si="9"/>
        <v>23.148164383561642</v>
      </c>
      <c r="J76">
        <f>I76</f>
        <v>23.148164383561642</v>
      </c>
      <c r="K76" s="2">
        <f t="shared" si="10"/>
        <v>0.25518044568165998</v>
      </c>
    </row>
    <row r="77" spans="1:11" x14ac:dyDescent="0.25">
      <c r="A77" t="s">
        <v>41</v>
      </c>
      <c r="B77" s="1">
        <v>44473</v>
      </c>
      <c r="C77" s="1">
        <v>44501</v>
      </c>
      <c r="D77">
        <v>465.65</v>
      </c>
      <c r="E77" t="s">
        <v>30</v>
      </c>
      <c r="F77" s="2">
        <v>94.54</v>
      </c>
      <c r="H77" s="1">
        <f t="shared" si="8"/>
        <v>44501</v>
      </c>
      <c r="I77">
        <f t="shared" si="9"/>
        <v>15.309041095890409</v>
      </c>
      <c r="J77">
        <f>I77</f>
        <v>15.309041095890409</v>
      </c>
      <c r="K77" s="2">
        <f t="shared" si="10"/>
        <v>0.20302802534092132</v>
      </c>
    </row>
    <row r="78" spans="1:11" x14ac:dyDescent="0.25">
      <c r="A78" t="s">
        <v>41</v>
      </c>
      <c r="B78" s="1">
        <v>44502</v>
      </c>
      <c r="C78" s="1">
        <v>44532</v>
      </c>
      <c r="D78">
        <v>722.47</v>
      </c>
      <c r="E78" t="s">
        <v>30</v>
      </c>
      <c r="F78" s="2">
        <v>157.79</v>
      </c>
      <c r="H78" s="1">
        <f t="shared" si="8"/>
        <v>44532</v>
      </c>
      <c r="I78">
        <f t="shared" si="9"/>
        <v>23.752438356164383</v>
      </c>
      <c r="J78">
        <f>I78</f>
        <v>23.752438356164383</v>
      </c>
      <c r="K78" s="2">
        <f t="shared" si="10"/>
        <v>0.21840353232660178</v>
      </c>
    </row>
    <row r="80" spans="1:11" x14ac:dyDescent="0.25">
      <c r="C80" t="s">
        <v>40</v>
      </c>
      <c r="D80">
        <f>SUM(D7:D78)/6</f>
        <v>5455.6966666666658</v>
      </c>
      <c r="H80" t="s">
        <v>27</v>
      </c>
      <c r="I80">
        <f>AVERAGE(I7:I78)</f>
        <v>14.947114155251143</v>
      </c>
      <c r="J80">
        <f>AVERAGE(J7:J78)</f>
        <v>16.641854583772389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30"/>
  <sheetViews>
    <sheetView topLeftCell="A43" zoomScale="106" zoomScaleNormal="106" workbookViewId="0">
      <selection activeCell="A48" sqref="A48"/>
    </sheetView>
  </sheetViews>
  <sheetFormatPr defaultRowHeight="15" x14ac:dyDescent="0.25"/>
  <cols>
    <col min="3" max="3" width="16.140625" customWidth="1"/>
    <col min="8" max="8" width="10.85546875" bestFit="1" customWidth="1"/>
    <col min="30" max="30" width="17" bestFit="1" customWidth="1"/>
    <col min="32" max="32" width="14.7109375" bestFit="1" customWidth="1"/>
    <col min="49" max="52" width="11" customWidth="1"/>
  </cols>
  <sheetData>
    <row r="1" spans="1:9" x14ac:dyDescent="0.25">
      <c r="A1" t="s">
        <v>0</v>
      </c>
      <c r="B1" t="s">
        <v>1</v>
      </c>
    </row>
    <row r="2" spans="1:9" x14ac:dyDescent="0.25">
      <c r="A2" t="s">
        <v>2</v>
      </c>
      <c r="B2" t="s">
        <v>3</v>
      </c>
    </row>
    <row r="3" spans="1:9" x14ac:dyDescent="0.25">
      <c r="A3" t="s">
        <v>4</v>
      </c>
      <c r="B3">
        <v>4825997950</v>
      </c>
    </row>
    <row r="4" spans="1:9" x14ac:dyDescent="0.25">
      <c r="A4" t="s">
        <v>5</v>
      </c>
      <c r="B4">
        <v>4825997010</v>
      </c>
    </row>
    <row r="6" spans="1:9" x14ac:dyDescent="0.25">
      <c r="A6" t="s">
        <v>6</v>
      </c>
      <c r="B6" t="s">
        <v>7</v>
      </c>
      <c r="C6" t="s">
        <v>8</v>
      </c>
      <c r="D6" t="s">
        <v>9</v>
      </c>
      <c r="E6" t="s">
        <v>10</v>
      </c>
      <c r="F6" t="s">
        <v>11</v>
      </c>
      <c r="H6" t="s">
        <v>32</v>
      </c>
      <c r="I6" t="s">
        <v>12</v>
      </c>
    </row>
    <row r="7" spans="1:9" x14ac:dyDescent="0.25">
      <c r="A7" t="s">
        <v>13</v>
      </c>
      <c r="B7" s="1">
        <v>40912</v>
      </c>
      <c r="C7" s="1">
        <v>40940</v>
      </c>
      <c r="D7">
        <v>99</v>
      </c>
      <c r="E7" t="s">
        <v>14</v>
      </c>
      <c r="F7" s="2">
        <v>121.16</v>
      </c>
      <c r="G7" s="1">
        <v>40940</v>
      </c>
      <c r="H7" s="2">
        <f>F7/D7</f>
        <v>1.2238383838383837</v>
      </c>
    </row>
    <row r="8" spans="1:9" x14ac:dyDescent="0.25">
      <c r="A8" t="s">
        <v>13</v>
      </c>
      <c r="B8" s="1">
        <v>40941</v>
      </c>
      <c r="C8" s="1">
        <v>40970</v>
      </c>
      <c r="D8">
        <v>79</v>
      </c>
      <c r="E8" t="s">
        <v>14</v>
      </c>
      <c r="F8" s="2">
        <v>94.61</v>
      </c>
      <c r="G8" s="1">
        <v>40970</v>
      </c>
      <c r="H8" s="2">
        <f t="shared" ref="H8:H71" si="0">F8/D8</f>
        <v>1.1975949367088607</v>
      </c>
    </row>
    <row r="9" spans="1:9" x14ac:dyDescent="0.25">
      <c r="A9" t="s">
        <v>13</v>
      </c>
      <c r="B9" s="1">
        <v>40971</v>
      </c>
      <c r="C9" s="1">
        <v>41001</v>
      </c>
      <c r="D9">
        <v>63</v>
      </c>
      <c r="E9" t="s">
        <v>14</v>
      </c>
      <c r="F9" s="2">
        <v>64.099999999999994</v>
      </c>
      <c r="G9" s="1">
        <v>41001</v>
      </c>
      <c r="H9" s="2">
        <f t="shared" si="0"/>
        <v>1.0174603174603174</v>
      </c>
    </row>
    <row r="10" spans="1:9" x14ac:dyDescent="0.25">
      <c r="A10" t="s">
        <v>13</v>
      </c>
      <c r="B10" s="1">
        <v>41002</v>
      </c>
      <c r="C10" s="1">
        <v>41031</v>
      </c>
      <c r="D10">
        <v>40</v>
      </c>
      <c r="E10" t="s">
        <v>14</v>
      </c>
      <c r="F10" s="2">
        <v>47.76</v>
      </c>
      <c r="G10" s="1">
        <v>41031</v>
      </c>
      <c r="H10" s="2">
        <f t="shared" si="0"/>
        <v>1.194</v>
      </c>
    </row>
    <row r="11" spans="1:9" x14ac:dyDescent="0.25">
      <c r="A11" t="s">
        <v>13</v>
      </c>
      <c r="B11" s="1">
        <v>41032</v>
      </c>
      <c r="C11" s="1">
        <v>41061</v>
      </c>
      <c r="D11">
        <v>10</v>
      </c>
      <c r="E11" t="s">
        <v>14</v>
      </c>
      <c r="F11" s="2">
        <v>10.41</v>
      </c>
      <c r="G11" s="1">
        <v>41061</v>
      </c>
      <c r="H11" s="2">
        <f t="shared" si="0"/>
        <v>1.0409999999999999</v>
      </c>
    </row>
    <row r="12" spans="1:9" x14ac:dyDescent="0.25">
      <c r="A12" t="s">
        <v>13</v>
      </c>
      <c r="B12" s="1">
        <v>41062</v>
      </c>
      <c r="C12" s="1">
        <v>41092</v>
      </c>
      <c r="D12">
        <v>9</v>
      </c>
      <c r="E12" t="s">
        <v>14</v>
      </c>
      <c r="F12" s="2">
        <v>10.47</v>
      </c>
      <c r="G12" s="1">
        <v>41092</v>
      </c>
      <c r="H12" s="2">
        <f t="shared" si="0"/>
        <v>1.1633333333333333</v>
      </c>
    </row>
    <row r="13" spans="1:9" x14ac:dyDescent="0.25">
      <c r="A13" t="s">
        <v>13</v>
      </c>
      <c r="B13" s="1">
        <v>41093</v>
      </c>
      <c r="C13" s="1">
        <v>41122</v>
      </c>
      <c r="D13">
        <v>9</v>
      </c>
      <c r="E13" t="s">
        <v>14</v>
      </c>
      <c r="F13" s="2">
        <v>10.83</v>
      </c>
      <c r="G13" s="1">
        <v>41122</v>
      </c>
      <c r="H13" s="2">
        <f t="shared" si="0"/>
        <v>1.2033333333333334</v>
      </c>
    </row>
    <row r="14" spans="1:9" x14ac:dyDescent="0.25">
      <c r="A14" t="s">
        <v>13</v>
      </c>
      <c r="B14" s="1">
        <v>41123</v>
      </c>
      <c r="C14" s="1">
        <v>41151</v>
      </c>
      <c r="D14">
        <v>9</v>
      </c>
      <c r="E14" t="s">
        <v>14</v>
      </c>
      <c r="F14" s="2">
        <v>10.68</v>
      </c>
      <c r="G14" s="1">
        <v>41151</v>
      </c>
      <c r="H14" s="2">
        <f t="shared" si="0"/>
        <v>1.1866666666666665</v>
      </c>
    </row>
    <row r="15" spans="1:9" x14ac:dyDescent="0.25">
      <c r="A15" t="s">
        <v>13</v>
      </c>
      <c r="B15" s="1">
        <v>41152</v>
      </c>
      <c r="C15" s="1">
        <v>41183</v>
      </c>
      <c r="D15">
        <v>10</v>
      </c>
      <c r="E15" t="s">
        <v>14</v>
      </c>
      <c r="F15" s="2">
        <v>11.38</v>
      </c>
      <c r="G15" s="1">
        <v>41183</v>
      </c>
      <c r="H15" s="2">
        <f t="shared" si="0"/>
        <v>1.1380000000000001</v>
      </c>
    </row>
    <row r="16" spans="1:9" x14ac:dyDescent="0.25">
      <c r="A16" t="s">
        <v>13</v>
      </c>
      <c r="B16" s="1">
        <v>41184</v>
      </c>
      <c r="C16" s="1">
        <v>41212</v>
      </c>
      <c r="D16">
        <v>19</v>
      </c>
      <c r="E16" t="s">
        <v>14</v>
      </c>
      <c r="F16" s="2">
        <v>21.28</v>
      </c>
      <c r="G16" s="1">
        <v>41212</v>
      </c>
      <c r="H16" s="2">
        <f t="shared" si="0"/>
        <v>1.1200000000000001</v>
      </c>
    </row>
    <row r="17" spans="1:8" x14ac:dyDescent="0.25">
      <c r="A17" t="s">
        <v>13</v>
      </c>
      <c r="B17" s="1">
        <v>41213</v>
      </c>
      <c r="C17" s="1">
        <v>41243</v>
      </c>
      <c r="D17">
        <v>59</v>
      </c>
      <c r="E17" t="s">
        <v>14</v>
      </c>
      <c r="F17" s="2">
        <v>67.569999999999993</v>
      </c>
      <c r="G17" s="1">
        <v>41243</v>
      </c>
      <c r="H17" s="2">
        <f t="shared" si="0"/>
        <v>1.1452542372881356</v>
      </c>
    </row>
    <row r="18" spans="1:8" x14ac:dyDescent="0.25">
      <c r="A18" t="s">
        <v>13</v>
      </c>
      <c r="B18" s="1">
        <v>41244</v>
      </c>
      <c r="C18" s="1">
        <v>41276</v>
      </c>
      <c r="D18">
        <v>103</v>
      </c>
      <c r="E18" t="s">
        <v>14</v>
      </c>
      <c r="F18" s="2">
        <v>122.99</v>
      </c>
      <c r="G18" s="1">
        <v>41276</v>
      </c>
      <c r="H18" s="2">
        <f t="shared" si="0"/>
        <v>1.1940776699029125</v>
      </c>
    </row>
    <row r="19" spans="1:8" x14ac:dyDescent="0.25">
      <c r="A19" t="s">
        <v>13</v>
      </c>
      <c r="B19" s="1">
        <v>41277</v>
      </c>
      <c r="C19" s="1">
        <v>41305</v>
      </c>
      <c r="D19">
        <v>126</v>
      </c>
      <c r="E19" t="s">
        <v>14</v>
      </c>
      <c r="F19" s="2">
        <v>149.88999999999999</v>
      </c>
      <c r="G19" s="1">
        <v>41305</v>
      </c>
      <c r="H19" s="2">
        <f t="shared" si="0"/>
        <v>1.1896031746031746</v>
      </c>
    </row>
    <row r="20" spans="1:8" x14ac:dyDescent="0.25">
      <c r="A20" t="s">
        <v>13</v>
      </c>
      <c r="B20" s="1">
        <v>41306</v>
      </c>
      <c r="C20" s="1">
        <v>41337</v>
      </c>
      <c r="D20">
        <v>105</v>
      </c>
      <c r="E20" t="s">
        <v>14</v>
      </c>
      <c r="F20" s="2">
        <v>126.72</v>
      </c>
      <c r="G20" s="1">
        <v>41337</v>
      </c>
      <c r="H20" s="2">
        <f t="shared" si="0"/>
        <v>1.2068571428571429</v>
      </c>
    </row>
    <row r="21" spans="1:8" x14ac:dyDescent="0.25">
      <c r="A21" t="s">
        <v>13</v>
      </c>
      <c r="B21" s="1">
        <v>41338</v>
      </c>
      <c r="C21" s="1">
        <v>41366</v>
      </c>
      <c r="D21">
        <v>50</v>
      </c>
      <c r="E21" t="s">
        <v>14</v>
      </c>
      <c r="F21" s="2">
        <v>52.5</v>
      </c>
      <c r="G21" s="1">
        <v>41366</v>
      </c>
      <c r="H21" s="2">
        <f t="shared" si="0"/>
        <v>1.05</v>
      </c>
    </row>
    <row r="22" spans="1:8" x14ac:dyDescent="0.25">
      <c r="A22" t="s">
        <v>13</v>
      </c>
      <c r="B22" s="1">
        <v>41367</v>
      </c>
      <c r="C22" s="1">
        <v>41396</v>
      </c>
      <c r="D22">
        <v>29</v>
      </c>
      <c r="E22" t="s">
        <v>14</v>
      </c>
      <c r="F22" s="2">
        <v>37.08</v>
      </c>
      <c r="G22" s="1">
        <v>41396</v>
      </c>
      <c r="H22" s="2">
        <f t="shared" si="0"/>
        <v>1.2786206896551724</v>
      </c>
    </row>
    <row r="23" spans="1:8" x14ac:dyDescent="0.25">
      <c r="A23" t="s">
        <v>13</v>
      </c>
      <c r="B23" s="1">
        <v>41397</v>
      </c>
      <c r="C23" s="1">
        <v>41428</v>
      </c>
      <c r="D23">
        <v>12</v>
      </c>
      <c r="E23" t="s">
        <v>14</v>
      </c>
      <c r="F23" s="2">
        <v>14.38</v>
      </c>
      <c r="G23" s="1">
        <v>41428</v>
      </c>
      <c r="H23" s="2">
        <f t="shared" si="0"/>
        <v>1.1983333333333335</v>
      </c>
    </row>
    <row r="24" spans="1:8" x14ac:dyDescent="0.25">
      <c r="A24" t="s">
        <v>13</v>
      </c>
      <c r="B24" s="1">
        <v>41429</v>
      </c>
      <c r="C24" s="1">
        <v>41457</v>
      </c>
      <c r="D24">
        <v>8</v>
      </c>
      <c r="E24" t="s">
        <v>14</v>
      </c>
      <c r="F24" s="2">
        <v>9.16</v>
      </c>
      <c r="G24" s="1">
        <v>41457</v>
      </c>
      <c r="H24" s="2">
        <f t="shared" si="0"/>
        <v>1.145</v>
      </c>
    </row>
    <row r="25" spans="1:8" x14ac:dyDescent="0.25">
      <c r="A25" t="s">
        <v>13</v>
      </c>
      <c r="B25" s="1">
        <v>41458</v>
      </c>
      <c r="C25" s="1">
        <v>41487</v>
      </c>
      <c r="D25">
        <v>9</v>
      </c>
      <c r="E25" t="s">
        <v>14</v>
      </c>
      <c r="F25" s="2">
        <v>10.08</v>
      </c>
      <c r="G25" s="1">
        <v>41487</v>
      </c>
      <c r="H25" s="2">
        <f t="shared" si="0"/>
        <v>1.1200000000000001</v>
      </c>
    </row>
    <row r="26" spans="1:8" x14ac:dyDescent="0.25">
      <c r="A26" t="s">
        <v>13</v>
      </c>
      <c r="B26" s="1">
        <v>41488</v>
      </c>
      <c r="C26" s="1">
        <v>41516</v>
      </c>
      <c r="D26">
        <v>14</v>
      </c>
      <c r="E26" t="s">
        <v>14</v>
      </c>
      <c r="F26" s="2">
        <v>15.44</v>
      </c>
      <c r="G26" s="1">
        <v>41516</v>
      </c>
      <c r="H26" s="2">
        <f t="shared" si="0"/>
        <v>1.1028571428571428</v>
      </c>
    </row>
    <row r="27" spans="1:8" x14ac:dyDescent="0.25">
      <c r="A27" t="s">
        <v>13</v>
      </c>
      <c r="B27" s="1">
        <v>41517</v>
      </c>
      <c r="C27" s="1">
        <v>41548</v>
      </c>
      <c r="D27">
        <v>14</v>
      </c>
      <c r="E27" t="s">
        <v>14</v>
      </c>
      <c r="F27" s="2">
        <v>15</v>
      </c>
      <c r="G27" s="1">
        <v>41548</v>
      </c>
      <c r="H27" s="2">
        <f t="shared" si="0"/>
        <v>1.0714285714285714</v>
      </c>
    </row>
    <row r="28" spans="1:8" x14ac:dyDescent="0.25">
      <c r="A28" t="s">
        <v>13</v>
      </c>
      <c r="B28" s="1">
        <v>41549</v>
      </c>
      <c r="C28" s="1">
        <v>41577</v>
      </c>
      <c r="D28">
        <v>23</v>
      </c>
      <c r="E28" t="s">
        <v>14</v>
      </c>
      <c r="F28" s="2">
        <v>26.67</v>
      </c>
      <c r="G28" s="1">
        <v>41577</v>
      </c>
      <c r="H28" s="2">
        <f t="shared" si="0"/>
        <v>1.1595652173913045</v>
      </c>
    </row>
    <row r="29" spans="1:8" x14ac:dyDescent="0.25">
      <c r="A29" t="s">
        <v>13</v>
      </c>
      <c r="B29" s="1">
        <v>41578</v>
      </c>
      <c r="C29" s="1">
        <v>41610</v>
      </c>
      <c r="D29">
        <v>70</v>
      </c>
      <c r="E29" t="s">
        <v>14</v>
      </c>
      <c r="F29" s="2">
        <v>81.180000000000007</v>
      </c>
      <c r="G29" s="1">
        <v>41610</v>
      </c>
      <c r="H29" s="2">
        <f t="shared" si="0"/>
        <v>1.1597142857142859</v>
      </c>
    </row>
    <row r="30" spans="1:8" x14ac:dyDescent="0.25">
      <c r="A30" t="s">
        <v>13</v>
      </c>
      <c r="B30" s="1">
        <v>41611</v>
      </c>
      <c r="C30" s="1">
        <v>41639</v>
      </c>
      <c r="D30">
        <v>117</v>
      </c>
      <c r="E30" t="s">
        <v>14</v>
      </c>
      <c r="F30" s="2">
        <v>147.24</v>
      </c>
      <c r="G30" s="1">
        <v>41639</v>
      </c>
      <c r="H30" s="2">
        <f t="shared" si="0"/>
        <v>1.2584615384615385</v>
      </c>
    </row>
    <row r="31" spans="1:8" x14ac:dyDescent="0.25">
      <c r="A31" t="s">
        <v>13</v>
      </c>
      <c r="B31" s="1">
        <v>41640</v>
      </c>
      <c r="C31" s="1">
        <v>41670</v>
      </c>
      <c r="D31">
        <v>63</v>
      </c>
      <c r="E31" t="s">
        <v>14</v>
      </c>
      <c r="F31" s="2">
        <v>75.739999999999995</v>
      </c>
      <c r="G31" s="1">
        <v>41670</v>
      </c>
      <c r="H31" s="2">
        <f t="shared" si="0"/>
        <v>1.2022222222222221</v>
      </c>
    </row>
    <row r="32" spans="1:8" x14ac:dyDescent="0.25">
      <c r="A32" t="s">
        <v>13</v>
      </c>
      <c r="B32" s="1">
        <v>41671</v>
      </c>
      <c r="C32" s="1">
        <v>41702</v>
      </c>
      <c r="D32">
        <v>69</v>
      </c>
      <c r="E32" t="s">
        <v>14</v>
      </c>
      <c r="F32" s="2">
        <v>90.22</v>
      </c>
      <c r="G32" s="1">
        <v>41702</v>
      </c>
      <c r="H32" s="2">
        <f t="shared" si="0"/>
        <v>1.307536231884058</v>
      </c>
    </row>
    <row r="33" spans="1:8" x14ac:dyDescent="0.25">
      <c r="A33" t="s">
        <v>13</v>
      </c>
      <c r="B33" s="1">
        <v>41703</v>
      </c>
      <c r="C33" s="1">
        <v>41731</v>
      </c>
      <c r="D33">
        <v>34</v>
      </c>
      <c r="E33" t="s">
        <v>14</v>
      </c>
      <c r="F33" s="2">
        <v>45.57</v>
      </c>
      <c r="G33" s="1">
        <v>41731</v>
      </c>
      <c r="H33" s="2">
        <f t="shared" si="0"/>
        <v>1.3402941176470589</v>
      </c>
    </row>
    <row r="34" spans="1:8" x14ac:dyDescent="0.25">
      <c r="A34" t="s">
        <v>13</v>
      </c>
      <c r="B34" s="1">
        <v>41732</v>
      </c>
      <c r="C34" s="1">
        <v>41761</v>
      </c>
      <c r="D34">
        <v>22</v>
      </c>
      <c r="E34" t="s">
        <v>14</v>
      </c>
      <c r="F34" s="2">
        <v>28.71</v>
      </c>
      <c r="G34" s="1">
        <v>41761</v>
      </c>
      <c r="H34" s="2">
        <f t="shared" si="0"/>
        <v>1.3049999999999999</v>
      </c>
    </row>
    <row r="35" spans="1:8" x14ac:dyDescent="0.25">
      <c r="A35" t="s">
        <v>13</v>
      </c>
      <c r="B35" s="1">
        <v>41762</v>
      </c>
      <c r="C35" s="1">
        <v>41793</v>
      </c>
      <c r="D35">
        <v>13</v>
      </c>
      <c r="E35" t="s">
        <v>14</v>
      </c>
      <c r="F35" s="2">
        <v>16.57</v>
      </c>
      <c r="G35" s="1">
        <v>41793</v>
      </c>
      <c r="H35" s="2">
        <f t="shared" si="0"/>
        <v>1.2746153846153847</v>
      </c>
    </row>
    <row r="36" spans="1:8" x14ac:dyDescent="0.25">
      <c r="A36" t="s">
        <v>13</v>
      </c>
      <c r="B36" s="1">
        <v>41794</v>
      </c>
      <c r="C36" s="1">
        <v>41822</v>
      </c>
      <c r="D36">
        <v>8</v>
      </c>
      <c r="E36" t="s">
        <v>14</v>
      </c>
      <c r="F36" s="2">
        <v>9.9499999999999993</v>
      </c>
      <c r="G36" s="1">
        <v>41822</v>
      </c>
      <c r="H36" s="2">
        <f t="shared" si="0"/>
        <v>1.2437499999999999</v>
      </c>
    </row>
    <row r="37" spans="1:8" x14ac:dyDescent="0.25">
      <c r="A37" t="s">
        <v>13</v>
      </c>
      <c r="B37" s="1">
        <v>41823</v>
      </c>
      <c r="C37" s="1">
        <v>41855</v>
      </c>
      <c r="D37">
        <v>9</v>
      </c>
      <c r="E37" t="s">
        <v>14</v>
      </c>
      <c r="F37" s="2">
        <v>11.6</v>
      </c>
      <c r="G37" s="1">
        <v>41855</v>
      </c>
      <c r="H37" s="2">
        <f t="shared" si="0"/>
        <v>1.2888888888888888</v>
      </c>
    </row>
    <row r="38" spans="1:8" x14ac:dyDescent="0.25">
      <c r="A38" t="s">
        <v>13</v>
      </c>
      <c r="B38" s="1">
        <v>41856</v>
      </c>
      <c r="C38" s="1">
        <v>41886</v>
      </c>
      <c r="D38">
        <v>8</v>
      </c>
      <c r="E38" t="s">
        <v>14</v>
      </c>
      <c r="F38" s="2">
        <v>10.199999999999999</v>
      </c>
      <c r="G38" s="1">
        <v>41886</v>
      </c>
      <c r="H38" s="2">
        <f t="shared" si="0"/>
        <v>1.2749999999999999</v>
      </c>
    </row>
    <row r="39" spans="1:8" x14ac:dyDescent="0.25">
      <c r="A39" t="s">
        <v>13</v>
      </c>
      <c r="B39" s="1">
        <v>41887</v>
      </c>
      <c r="C39" s="1">
        <v>41915</v>
      </c>
      <c r="D39">
        <v>8</v>
      </c>
      <c r="E39" t="s">
        <v>14</v>
      </c>
      <c r="F39" s="2">
        <v>11.15</v>
      </c>
      <c r="G39" s="1">
        <v>41915</v>
      </c>
      <c r="H39" s="2">
        <f t="shared" si="0"/>
        <v>1.39375</v>
      </c>
    </row>
    <row r="40" spans="1:8" x14ac:dyDescent="0.25">
      <c r="A40" t="s">
        <v>13</v>
      </c>
      <c r="B40" s="1">
        <v>41916</v>
      </c>
      <c r="C40" s="1">
        <v>41946</v>
      </c>
      <c r="D40">
        <v>10</v>
      </c>
      <c r="E40" t="s">
        <v>14</v>
      </c>
      <c r="F40" s="2">
        <v>13.08</v>
      </c>
      <c r="G40" s="1">
        <v>41946</v>
      </c>
      <c r="H40" s="2">
        <f t="shared" si="0"/>
        <v>1.3080000000000001</v>
      </c>
    </row>
    <row r="41" spans="1:8" x14ac:dyDescent="0.25">
      <c r="A41" t="s">
        <v>13</v>
      </c>
      <c r="B41" s="1">
        <v>41947</v>
      </c>
      <c r="C41" s="1">
        <v>41977</v>
      </c>
      <c r="D41">
        <v>37</v>
      </c>
      <c r="E41" t="s">
        <v>14</v>
      </c>
      <c r="F41" s="2">
        <v>46.79</v>
      </c>
      <c r="G41" s="1">
        <v>41977</v>
      </c>
      <c r="H41" s="2">
        <f t="shared" si="0"/>
        <v>1.2645945945945947</v>
      </c>
    </row>
    <row r="42" spans="1:8" x14ac:dyDescent="0.25">
      <c r="A42" t="s">
        <v>13</v>
      </c>
      <c r="B42" s="1">
        <v>41978</v>
      </c>
      <c r="C42" s="1">
        <v>42007</v>
      </c>
      <c r="D42">
        <v>55</v>
      </c>
      <c r="E42" t="s">
        <v>14</v>
      </c>
      <c r="F42" s="2">
        <v>73.58</v>
      </c>
      <c r="G42" s="1">
        <v>42007</v>
      </c>
      <c r="H42" s="2">
        <f t="shared" si="0"/>
        <v>1.3378181818181818</v>
      </c>
    </row>
    <row r="43" spans="1:8" x14ac:dyDescent="0.25">
      <c r="A43" t="s">
        <v>13</v>
      </c>
      <c r="B43" s="1">
        <v>42008</v>
      </c>
      <c r="C43" s="1">
        <v>42038</v>
      </c>
      <c r="D43">
        <v>65</v>
      </c>
      <c r="E43" t="s">
        <v>14</v>
      </c>
      <c r="F43" s="2">
        <v>92.34</v>
      </c>
      <c r="G43" s="1">
        <v>42038</v>
      </c>
      <c r="H43" s="2">
        <f t="shared" si="0"/>
        <v>1.4206153846153846</v>
      </c>
    </row>
    <row r="44" spans="1:8" x14ac:dyDescent="0.25">
      <c r="A44" t="s">
        <v>13</v>
      </c>
      <c r="B44" s="1">
        <v>42039</v>
      </c>
      <c r="C44" s="1">
        <v>42068</v>
      </c>
      <c r="D44">
        <v>46</v>
      </c>
      <c r="E44" t="s">
        <v>14</v>
      </c>
      <c r="F44" s="2">
        <v>62.74</v>
      </c>
      <c r="G44" s="1">
        <v>42068</v>
      </c>
      <c r="H44" s="2">
        <f t="shared" si="0"/>
        <v>1.3639130434782609</v>
      </c>
    </row>
    <row r="45" spans="1:8" x14ac:dyDescent="0.25">
      <c r="A45" t="s">
        <v>13</v>
      </c>
      <c r="B45" s="1">
        <v>42069</v>
      </c>
      <c r="C45" s="1">
        <v>42097</v>
      </c>
      <c r="D45">
        <v>21</v>
      </c>
      <c r="E45" t="s">
        <v>14</v>
      </c>
      <c r="F45" s="2">
        <v>27.22</v>
      </c>
      <c r="G45" s="1">
        <v>42097</v>
      </c>
      <c r="H45" s="2">
        <f t="shared" si="0"/>
        <v>1.2961904761904761</v>
      </c>
    </row>
    <row r="46" spans="1:8" x14ac:dyDescent="0.25">
      <c r="A46" t="s">
        <v>13</v>
      </c>
      <c r="B46" s="1">
        <v>42098</v>
      </c>
      <c r="C46" s="1">
        <v>42129</v>
      </c>
      <c r="D46">
        <v>20</v>
      </c>
      <c r="E46" t="s">
        <v>14</v>
      </c>
      <c r="F46" s="2">
        <v>25.47</v>
      </c>
      <c r="G46" s="1">
        <v>42129</v>
      </c>
      <c r="H46" s="2">
        <f t="shared" si="0"/>
        <v>1.2734999999999999</v>
      </c>
    </row>
    <row r="47" spans="1:8" x14ac:dyDescent="0.25">
      <c r="A47" t="s">
        <v>13</v>
      </c>
      <c r="B47" s="1">
        <v>42130</v>
      </c>
      <c r="C47" s="1">
        <v>42159</v>
      </c>
      <c r="D47">
        <v>12</v>
      </c>
      <c r="E47" t="s">
        <v>14</v>
      </c>
      <c r="F47" s="2">
        <v>14.62</v>
      </c>
      <c r="G47" s="1">
        <v>42159</v>
      </c>
      <c r="H47" s="2">
        <f t="shared" si="0"/>
        <v>1.2183333333333333</v>
      </c>
    </row>
    <row r="48" spans="1:8" x14ac:dyDescent="0.25">
      <c r="A48" t="s">
        <v>13</v>
      </c>
      <c r="B48" s="1">
        <v>42160</v>
      </c>
      <c r="C48" s="1">
        <v>42188</v>
      </c>
      <c r="D48">
        <v>6</v>
      </c>
      <c r="E48" t="s">
        <v>14</v>
      </c>
      <c r="F48" s="2">
        <v>7.78</v>
      </c>
      <c r="G48" s="1">
        <v>42188</v>
      </c>
      <c r="H48" s="2">
        <f t="shared" si="0"/>
        <v>1.2966666666666666</v>
      </c>
    </row>
    <row r="49" spans="1:8" x14ac:dyDescent="0.25">
      <c r="A49" t="s">
        <v>13</v>
      </c>
      <c r="B49" s="1">
        <v>42189</v>
      </c>
      <c r="C49" s="1">
        <v>42219</v>
      </c>
      <c r="D49">
        <v>7</v>
      </c>
      <c r="E49" t="s">
        <v>14</v>
      </c>
      <c r="F49" s="2">
        <v>8.66</v>
      </c>
      <c r="G49" s="1">
        <v>42219</v>
      </c>
      <c r="H49" s="2">
        <f t="shared" si="0"/>
        <v>1.2371428571428571</v>
      </c>
    </row>
    <row r="50" spans="1:8" x14ac:dyDescent="0.25">
      <c r="A50" t="s">
        <v>13</v>
      </c>
      <c r="B50" s="1">
        <v>42220</v>
      </c>
      <c r="C50" s="1">
        <v>42249</v>
      </c>
      <c r="D50">
        <v>8</v>
      </c>
      <c r="E50" t="s">
        <v>14</v>
      </c>
      <c r="F50" s="2">
        <v>10.45</v>
      </c>
      <c r="G50" s="1">
        <v>42249</v>
      </c>
      <c r="H50" s="2">
        <f t="shared" si="0"/>
        <v>1.3062499999999999</v>
      </c>
    </row>
    <row r="51" spans="1:8" x14ac:dyDescent="0.25">
      <c r="A51" t="s">
        <v>13</v>
      </c>
      <c r="B51" s="1">
        <v>42250</v>
      </c>
      <c r="C51" s="1">
        <v>42279</v>
      </c>
      <c r="D51">
        <v>7</v>
      </c>
      <c r="E51" t="s">
        <v>14</v>
      </c>
      <c r="F51" s="2">
        <v>8.6</v>
      </c>
      <c r="G51" s="1">
        <v>42279</v>
      </c>
      <c r="H51" s="2">
        <f t="shared" si="0"/>
        <v>1.2285714285714284</v>
      </c>
    </row>
    <row r="52" spans="1:8" x14ac:dyDescent="0.25">
      <c r="A52" t="s">
        <v>13</v>
      </c>
      <c r="B52" s="1">
        <v>42280</v>
      </c>
      <c r="C52" s="1">
        <v>42310</v>
      </c>
      <c r="D52">
        <v>8</v>
      </c>
      <c r="E52" t="s">
        <v>14</v>
      </c>
      <c r="F52" s="2">
        <v>9.89</v>
      </c>
      <c r="G52" s="1">
        <v>42310</v>
      </c>
      <c r="H52" s="2">
        <f t="shared" si="0"/>
        <v>1.2362500000000001</v>
      </c>
    </row>
    <row r="53" spans="1:8" x14ac:dyDescent="0.25">
      <c r="A53" t="s">
        <v>13</v>
      </c>
      <c r="B53" s="1">
        <v>42311</v>
      </c>
      <c r="C53" s="1">
        <v>42341</v>
      </c>
      <c r="D53">
        <v>61</v>
      </c>
      <c r="E53" t="s">
        <v>14</v>
      </c>
      <c r="F53" s="2">
        <v>78.83</v>
      </c>
      <c r="G53" s="1">
        <v>42341</v>
      </c>
      <c r="H53" s="2">
        <f t="shared" si="0"/>
        <v>1.292295081967213</v>
      </c>
    </row>
    <row r="54" spans="1:8" x14ac:dyDescent="0.25">
      <c r="A54" t="s">
        <v>13</v>
      </c>
      <c r="B54" s="1">
        <v>42342</v>
      </c>
      <c r="C54" s="1">
        <v>42373</v>
      </c>
      <c r="D54">
        <v>89</v>
      </c>
      <c r="E54" t="s">
        <v>14</v>
      </c>
      <c r="F54" s="2">
        <v>129.01</v>
      </c>
      <c r="G54" s="1">
        <v>42373</v>
      </c>
      <c r="H54" s="2">
        <f t="shared" si="0"/>
        <v>1.4495505617977527</v>
      </c>
    </row>
    <row r="55" spans="1:8" x14ac:dyDescent="0.25">
      <c r="A55" t="s">
        <v>13</v>
      </c>
      <c r="B55" s="1">
        <v>42374</v>
      </c>
      <c r="C55" s="1">
        <v>42402</v>
      </c>
      <c r="D55">
        <v>62</v>
      </c>
      <c r="E55" t="s">
        <v>14</v>
      </c>
      <c r="F55" s="2">
        <v>87.36</v>
      </c>
      <c r="G55" s="1">
        <v>42402</v>
      </c>
      <c r="H55" s="2">
        <f t="shared" si="0"/>
        <v>1.409032258064516</v>
      </c>
    </row>
    <row r="56" spans="1:8" x14ac:dyDescent="0.25">
      <c r="A56" t="s">
        <v>13</v>
      </c>
      <c r="B56" s="1">
        <v>42403</v>
      </c>
      <c r="C56" s="1">
        <v>42432</v>
      </c>
      <c r="D56">
        <v>38</v>
      </c>
      <c r="E56" t="s">
        <v>14</v>
      </c>
      <c r="F56" s="2">
        <v>52.23</v>
      </c>
      <c r="G56" s="1">
        <v>42432</v>
      </c>
      <c r="H56" s="2">
        <f t="shared" si="0"/>
        <v>1.3744736842105263</v>
      </c>
    </row>
    <row r="57" spans="1:8" x14ac:dyDescent="0.25">
      <c r="A57" t="s">
        <v>13</v>
      </c>
      <c r="B57" s="1">
        <v>42433</v>
      </c>
      <c r="C57" s="1">
        <v>42461</v>
      </c>
      <c r="D57">
        <v>37</v>
      </c>
      <c r="E57" t="s">
        <v>14</v>
      </c>
      <c r="F57" s="2">
        <v>41.9</v>
      </c>
      <c r="G57" s="1">
        <v>42461</v>
      </c>
      <c r="H57" s="2">
        <f t="shared" si="0"/>
        <v>1.1324324324324324</v>
      </c>
    </row>
    <row r="58" spans="1:8" x14ac:dyDescent="0.25">
      <c r="A58" t="s">
        <v>13</v>
      </c>
      <c r="B58" s="1">
        <v>42462</v>
      </c>
      <c r="C58" s="1">
        <v>42493</v>
      </c>
      <c r="D58">
        <v>18</v>
      </c>
      <c r="E58" t="s">
        <v>14</v>
      </c>
      <c r="F58" s="2">
        <v>21.75</v>
      </c>
      <c r="G58" s="1">
        <v>42493</v>
      </c>
      <c r="H58" s="2">
        <f t="shared" si="0"/>
        <v>1.2083333333333333</v>
      </c>
    </row>
    <row r="59" spans="1:8" x14ac:dyDescent="0.25">
      <c r="A59" t="s">
        <v>13</v>
      </c>
      <c r="B59" s="1">
        <v>42494</v>
      </c>
      <c r="C59" s="1">
        <v>42523</v>
      </c>
      <c r="D59">
        <v>11</v>
      </c>
      <c r="E59" t="s">
        <v>14</v>
      </c>
      <c r="F59" s="2">
        <v>13.59</v>
      </c>
      <c r="G59" s="1">
        <v>42523</v>
      </c>
      <c r="H59" s="2">
        <f t="shared" si="0"/>
        <v>1.2354545454545454</v>
      </c>
    </row>
    <row r="60" spans="1:8" x14ac:dyDescent="0.25">
      <c r="A60" t="s">
        <v>13</v>
      </c>
      <c r="B60" s="1">
        <v>42524</v>
      </c>
      <c r="C60" s="1">
        <v>42552</v>
      </c>
      <c r="D60">
        <v>7</v>
      </c>
      <c r="E60" t="s">
        <v>14</v>
      </c>
      <c r="F60" s="2">
        <v>8.27</v>
      </c>
      <c r="G60" s="1">
        <v>42552</v>
      </c>
      <c r="H60" s="2">
        <f t="shared" si="0"/>
        <v>1.1814285714285713</v>
      </c>
    </row>
    <row r="61" spans="1:8" x14ac:dyDescent="0.25">
      <c r="A61" t="s">
        <v>13</v>
      </c>
      <c r="B61" s="1">
        <v>42553</v>
      </c>
      <c r="C61" s="1">
        <v>42584</v>
      </c>
      <c r="D61">
        <v>8</v>
      </c>
      <c r="E61" t="s">
        <v>14</v>
      </c>
      <c r="F61" s="2">
        <v>10.050000000000001</v>
      </c>
      <c r="G61" s="1">
        <v>42584</v>
      </c>
      <c r="H61" s="2">
        <f t="shared" si="0"/>
        <v>1.2562500000000001</v>
      </c>
    </row>
    <row r="62" spans="1:8" x14ac:dyDescent="0.25">
      <c r="A62" t="s">
        <v>13</v>
      </c>
      <c r="B62" s="1">
        <v>42585</v>
      </c>
      <c r="C62" s="1">
        <v>42614</v>
      </c>
      <c r="D62">
        <v>8</v>
      </c>
      <c r="E62" t="s">
        <v>14</v>
      </c>
      <c r="F62" s="2">
        <v>11.56</v>
      </c>
      <c r="G62" s="1">
        <v>42614</v>
      </c>
      <c r="H62" s="2">
        <f t="shared" si="0"/>
        <v>1.4450000000000001</v>
      </c>
    </row>
    <row r="63" spans="1:8" x14ac:dyDescent="0.25">
      <c r="A63" t="s">
        <v>13</v>
      </c>
      <c r="B63" s="1">
        <v>42615</v>
      </c>
      <c r="C63" s="1">
        <v>42646</v>
      </c>
      <c r="D63">
        <v>8</v>
      </c>
      <c r="E63" t="s">
        <v>14</v>
      </c>
      <c r="F63" s="2">
        <v>11.52</v>
      </c>
      <c r="G63" s="1">
        <v>42646</v>
      </c>
      <c r="H63" s="2">
        <f t="shared" si="0"/>
        <v>1.44</v>
      </c>
    </row>
    <row r="64" spans="1:8" x14ac:dyDescent="0.25">
      <c r="A64" t="s">
        <v>13</v>
      </c>
      <c r="B64" s="1">
        <v>42647</v>
      </c>
      <c r="C64" s="1">
        <v>42675</v>
      </c>
      <c r="D64">
        <v>10</v>
      </c>
      <c r="E64" t="s">
        <v>14</v>
      </c>
      <c r="F64" s="2">
        <v>15.25</v>
      </c>
      <c r="G64" s="1">
        <v>42675</v>
      </c>
      <c r="H64" s="2">
        <f t="shared" si="0"/>
        <v>1.5249999999999999</v>
      </c>
    </row>
    <row r="65" spans="1:8" x14ac:dyDescent="0.25">
      <c r="A65" t="s">
        <v>13</v>
      </c>
      <c r="B65" s="1">
        <v>42676</v>
      </c>
      <c r="C65" s="1">
        <v>42706</v>
      </c>
      <c r="D65">
        <v>47</v>
      </c>
      <c r="E65" t="s">
        <v>14</v>
      </c>
      <c r="F65" s="2">
        <v>75.02</v>
      </c>
      <c r="G65" s="1">
        <v>42706</v>
      </c>
      <c r="H65" s="2">
        <f t="shared" si="0"/>
        <v>1.5961702127659574</v>
      </c>
    </row>
    <row r="66" spans="1:8" x14ac:dyDescent="0.25">
      <c r="A66" t="s">
        <v>13</v>
      </c>
      <c r="B66" s="1">
        <v>42707</v>
      </c>
      <c r="C66" s="1">
        <v>42738</v>
      </c>
      <c r="D66">
        <v>88</v>
      </c>
      <c r="E66" t="s">
        <v>14</v>
      </c>
      <c r="F66" s="2">
        <v>149.54</v>
      </c>
      <c r="G66" s="1">
        <v>42738</v>
      </c>
      <c r="H66" s="2">
        <f t="shared" si="0"/>
        <v>1.6993181818181817</v>
      </c>
    </row>
    <row r="67" spans="1:8" x14ac:dyDescent="0.25">
      <c r="A67" t="s">
        <v>13</v>
      </c>
      <c r="B67" s="1">
        <v>42739</v>
      </c>
      <c r="C67" s="1">
        <v>42767</v>
      </c>
      <c r="D67">
        <v>86</v>
      </c>
      <c r="E67" t="s">
        <v>14</v>
      </c>
      <c r="F67" s="2">
        <v>145.29</v>
      </c>
      <c r="G67" s="1">
        <v>42767</v>
      </c>
      <c r="H67" s="2">
        <f t="shared" si="0"/>
        <v>1.6894186046511628</v>
      </c>
    </row>
    <row r="68" spans="1:8" x14ac:dyDescent="0.25">
      <c r="A68" t="s">
        <v>13</v>
      </c>
      <c r="B68" s="1">
        <v>42768</v>
      </c>
      <c r="C68" s="1">
        <v>42797</v>
      </c>
      <c r="D68">
        <v>71</v>
      </c>
      <c r="E68" t="s">
        <v>14</v>
      </c>
      <c r="F68" s="2">
        <v>112.18</v>
      </c>
      <c r="G68" s="1">
        <v>42797</v>
      </c>
      <c r="H68" s="2">
        <f t="shared" si="0"/>
        <v>1.58</v>
      </c>
    </row>
    <row r="69" spans="1:8" x14ac:dyDescent="0.25">
      <c r="A69" t="s">
        <v>13</v>
      </c>
      <c r="B69" s="1">
        <v>42798</v>
      </c>
      <c r="C69" s="1">
        <v>42828</v>
      </c>
      <c r="D69">
        <v>41</v>
      </c>
      <c r="E69" t="s">
        <v>14</v>
      </c>
      <c r="F69" s="2">
        <v>60.76</v>
      </c>
      <c r="G69" s="1">
        <v>42828</v>
      </c>
      <c r="H69" s="2">
        <f t="shared" si="0"/>
        <v>1.4819512195121951</v>
      </c>
    </row>
    <row r="70" spans="1:8" x14ac:dyDescent="0.25">
      <c r="A70" t="s">
        <v>13</v>
      </c>
      <c r="B70" s="1">
        <v>42829</v>
      </c>
      <c r="C70" s="1">
        <v>42858</v>
      </c>
      <c r="D70">
        <v>30</v>
      </c>
      <c r="E70" t="s">
        <v>14</v>
      </c>
      <c r="F70" s="2">
        <v>50.97</v>
      </c>
      <c r="G70" s="1">
        <v>42858</v>
      </c>
      <c r="H70" s="2">
        <f t="shared" si="0"/>
        <v>1.6990000000000001</v>
      </c>
    </row>
    <row r="71" spans="1:8" x14ac:dyDescent="0.25">
      <c r="A71" t="s">
        <v>13</v>
      </c>
      <c r="B71" s="1">
        <v>42859</v>
      </c>
      <c r="C71" s="1">
        <v>42888</v>
      </c>
      <c r="D71">
        <v>14</v>
      </c>
      <c r="E71" t="s">
        <v>14</v>
      </c>
      <c r="F71" s="2">
        <v>20.239999999999998</v>
      </c>
      <c r="G71" s="1">
        <v>42888</v>
      </c>
      <c r="H71" s="2">
        <f t="shared" si="0"/>
        <v>1.4457142857142855</v>
      </c>
    </row>
    <row r="72" spans="1:8" x14ac:dyDescent="0.25">
      <c r="A72" t="s">
        <v>13</v>
      </c>
      <c r="B72" s="1">
        <v>42889</v>
      </c>
      <c r="C72" s="1">
        <v>42919</v>
      </c>
      <c r="D72">
        <v>10</v>
      </c>
      <c r="E72" t="s">
        <v>14</v>
      </c>
      <c r="F72" s="2">
        <v>14.32</v>
      </c>
      <c r="G72" s="1">
        <v>42919</v>
      </c>
      <c r="H72" s="2">
        <f t="shared" ref="H72:H125" si="1">F72/D72</f>
        <v>1.4319999999999999</v>
      </c>
    </row>
    <row r="73" spans="1:8" x14ac:dyDescent="0.25">
      <c r="A73" t="s">
        <v>13</v>
      </c>
      <c r="B73" s="1">
        <v>42920</v>
      </c>
      <c r="C73" s="1">
        <v>42949</v>
      </c>
      <c r="D73">
        <v>6</v>
      </c>
      <c r="E73" t="s">
        <v>14</v>
      </c>
      <c r="F73" s="2">
        <v>8.16</v>
      </c>
      <c r="G73" s="1">
        <v>42949</v>
      </c>
      <c r="H73" s="2">
        <f t="shared" si="1"/>
        <v>1.36</v>
      </c>
    </row>
    <row r="74" spans="1:8" x14ac:dyDescent="0.25">
      <c r="A74" t="s">
        <v>13</v>
      </c>
      <c r="B74" s="1">
        <v>42950</v>
      </c>
      <c r="C74" s="1">
        <v>42979</v>
      </c>
      <c r="D74">
        <v>8</v>
      </c>
      <c r="E74" t="s">
        <v>14</v>
      </c>
      <c r="F74" s="2">
        <v>10.96</v>
      </c>
      <c r="G74" s="1">
        <v>42979</v>
      </c>
      <c r="H74" s="2">
        <f t="shared" si="1"/>
        <v>1.37</v>
      </c>
    </row>
    <row r="75" spans="1:8" x14ac:dyDescent="0.25">
      <c r="A75" t="s">
        <v>13</v>
      </c>
      <c r="B75" s="1">
        <v>42980</v>
      </c>
      <c r="C75" s="1">
        <v>43011</v>
      </c>
      <c r="D75">
        <v>8</v>
      </c>
      <c r="E75" t="s">
        <v>14</v>
      </c>
      <c r="F75" s="2">
        <v>10.53</v>
      </c>
      <c r="G75" s="1">
        <v>43011</v>
      </c>
      <c r="H75" s="2">
        <f t="shared" si="1"/>
        <v>1.3162499999999999</v>
      </c>
    </row>
    <row r="76" spans="1:8" x14ac:dyDescent="0.25">
      <c r="A76" t="s">
        <v>13</v>
      </c>
      <c r="B76" s="1">
        <v>43012</v>
      </c>
      <c r="C76" s="1">
        <v>43040</v>
      </c>
      <c r="D76">
        <v>16</v>
      </c>
      <c r="E76" t="s">
        <v>14</v>
      </c>
      <c r="F76" s="2">
        <v>21.73</v>
      </c>
      <c r="G76" s="1">
        <v>43040</v>
      </c>
      <c r="H76" s="2">
        <f t="shared" si="1"/>
        <v>1.358125</v>
      </c>
    </row>
    <row r="77" spans="1:8" x14ac:dyDescent="0.25">
      <c r="A77" t="s">
        <v>13</v>
      </c>
      <c r="B77" s="1">
        <v>43041</v>
      </c>
      <c r="C77" s="1">
        <v>43070</v>
      </c>
      <c r="D77">
        <v>56</v>
      </c>
      <c r="E77" t="s">
        <v>14</v>
      </c>
      <c r="F77" s="2">
        <v>77.61</v>
      </c>
      <c r="G77" s="1">
        <v>43070</v>
      </c>
      <c r="H77" s="2">
        <f t="shared" si="1"/>
        <v>1.385892857142857</v>
      </c>
    </row>
    <row r="78" spans="1:8" x14ac:dyDescent="0.25">
      <c r="A78" t="s">
        <v>13</v>
      </c>
      <c r="B78" s="1">
        <v>43071</v>
      </c>
      <c r="C78" s="1">
        <v>43102</v>
      </c>
      <c r="D78">
        <v>106</v>
      </c>
      <c r="E78" t="s">
        <v>14</v>
      </c>
      <c r="F78" s="2">
        <v>174.59</v>
      </c>
      <c r="G78" s="1">
        <v>43102</v>
      </c>
      <c r="H78" s="2">
        <f t="shared" si="1"/>
        <v>1.6470754716981133</v>
      </c>
    </row>
    <row r="79" spans="1:8" x14ac:dyDescent="0.25">
      <c r="A79" t="s">
        <v>13</v>
      </c>
      <c r="B79" s="1">
        <v>43103</v>
      </c>
      <c r="C79" s="1">
        <v>43131</v>
      </c>
      <c r="D79">
        <v>75</v>
      </c>
      <c r="E79" t="s">
        <v>14</v>
      </c>
      <c r="F79" s="2">
        <v>118.51</v>
      </c>
      <c r="G79" s="1">
        <v>43131</v>
      </c>
      <c r="H79" s="2">
        <f t="shared" si="1"/>
        <v>1.5801333333333334</v>
      </c>
    </row>
    <row r="80" spans="1:8" x14ac:dyDescent="0.25">
      <c r="A80" t="s">
        <v>13</v>
      </c>
      <c r="B80" s="1">
        <v>43132</v>
      </c>
      <c r="C80" s="1">
        <v>43161</v>
      </c>
      <c r="D80">
        <v>74</v>
      </c>
      <c r="E80" t="s">
        <v>14</v>
      </c>
      <c r="F80" s="2">
        <v>117.48</v>
      </c>
      <c r="G80" s="1">
        <v>43161</v>
      </c>
      <c r="H80" s="2">
        <f t="shared" si="1"/>
        <v>1.5875675675675676</v>
      </c>
    </row>
    <row r="81" spans="1:8" x14ac:dyDescent="0.25">
      <c r="A81" t="s">
        <v>13</v>
      </c>
      <c r="B81" s="1">
        <v>43162</v>
      </c>
      <c r="C81" s="1">
        <v>43192</v>
      </c>
      <c r="D81">
        <v>64</v>
      </c>
      <c r="E81" t="s">
        <v>14</v>
      </c>
      <c r="F81" s="2">
        <v>92.17</v>
      </c>
      <c r="G81" s="1">
        <v>43192</v>
      </c>
      <c r="H81" s="2">
        <f t="shared" si="1"/>
        <v>1.44015625</v>
      </c>
    </row>
    <row r="82" spans="1:8" x14ac:dyDescent="0.25">
      <c r="A82" t="s">
        <v>13</v>
      </c>
      <c r="B82" s="1">
        <v>43193</v>
      </c>
      <c r="C82" s="1">
        <v>43222</v>
      </c>
      <c r="D82">
        <v>32</v>
      </c>
      <c r="E82" t="s">
        <v>14</v>
      </c>
      <c r="F82" s="2">
        <v>53.48</v>
      </c>
      <c r="G82" s="1">
        <v>43222</v>
      </c>
      <c r="H82" s="2">
        <f t="shared" si="1"/>
        <v>1.6712499999999999</v>
      </c>
    </row>
    <row r="83" spans="1:8" x14ac:dyDescent="0.25">
      <c r="A83" t="s">
        <v>13</v>
      </c>
      <c r="B83" s="1">
        <v>43223</v>
      </c>
      <c r="C83" s="1">
        <v>43252</v>
      </c>
      <c r="D83">
        <v>12</v>
      </c>
      <c r="E83" t="s">
        <v>14</v>
      </c>
      <c r="F83" s="2">
        <v>16</v>
      </c>
      <c r="G83" s="1">
        <v>43252</v>
      </c>
      <c r="H83" s="2">
        <f t="shared" si="1"/>
        <v>1.3333333333333333</v>
      </c>
    </row>
    <row r="84" spans="1:8" x14ac:dyDescent="0.25">
      <c r="A84" t="s">
        <v>13</v>
      </c>
      <c r="B84" s="1">
        <v>43253</v>
      </c>
      <c r="C84" s="1">
        <v>43283</v>
      </c>
      <c r="D84">
        <v>11</v>
      </c>
      <c r="E84" t="s">
        <v>14</v>
      </c>
      <c r="F84" s="2">
        <v>14.07</v>
      </c>
      <c r="G84" s="1">
        <v>43283</v>
      </c>
      <c r="H84" s="2">
        <f t="shared" si="1"/>
        <v>1.2790909090909091</v>
      </c>
    </row>
    <row r="85" spans="1:8" x14ac:dyDescent="0.25">
      <c r="A85" t="s">
        <v>13</v>
      </c>
      <c r="B85" s="1">
        <v>43284</v>
      </c>
      <c r="C85" s="1">
        <v>43313</v>
      </c>
      <c r="D85">
        <v>8</v>
      </c>
      <c r="E85" t="s">
        <v>14</v>
      </c>
      <c r="F85" s="2">
        <v>10.48</v>
      </c>
      <c r="G85" s="1">
        <v>43313</v>
      </c>
      <c r="H85" s="2">
        <f t="shared" si="1"/>
        <v>1.31</v>
      </c>
    </row>
    <row r="86" spans="1:8" x14ac:dyDescent="0.25">
      <c r="A86" t="s">
        <v>13</v>
      </c>
      <c r="B86" s="1">
        <v>43314</v>
      </c>
      <c r="C86" s="1">
        <v>43343</v>
      </c>
      <c r="D86">
        <v>9</v>
      </c>
      <c r="E86" t="s">
        <v>14</v>
      </c>
      <c r="F86" s="2">
        <v>12.35</v>
      </c>
      <c r="G86" s="1">
        <v>43343</v>
      </c>
      <c r="H86" s="2">
        <f t="shared" si="1"/>
        <v>1.3722222222222222</v>
      </c>
    </row>
    <row r="87" spans="1:8" x14ac:dyDescent="0.25">
      <c r="A87" t="s">
        <v>13</v>
      </c>
      <c r="B87" s="1">
        <v>43344</v>
      </c>
      <c r="C87" s="1">
        <v>43375</v>
      </c>
      <c r="D87">
        <v>8</v>
      </c>
      <c r="E87" t="s">
        <v>14</v>
      </c>
      <c r="F87" s="2">
        <v>10.72</v>
      </c>
      <c r="G87" s="1">
        <v>43375</v>
      </c>
      <c r="H87" s="2">
        <f t="shared" si="1"/>
        <v>1.34</v>
      </c>
    </row>
    <row r="88" spans="1:8" x14ac:dyDescent="0.25">
      <c r="A88" t="s">
        <v>13</v>
      </c>
      <c r="B88" s="1">
        <v>43376</v>
      </c>
      <c r="C88" s="1">
        <v>43405</v>
      </c>
      <c r="D88">
        <v>9</v>
      </c>
      <c r="E88" t="s">
        <v>14</v>
      </c>
      <c r="F88" s="2">
        <v>12.25</v>
      </c>
      <c r="G88" s="1">
        <v>43405</v>
      </c>
      <c r="H88" s="2">
        <f t="shared" si="1"/>
        <v>1.3611111111111112</v>
      </c>
    </row>
    <row r="89" spans="1:8" x14ac:dyDescent="0.25">
      <c r="A89" t="s">
        <v>13</v>
      </c>
      <c r="B89" s="1">
        <v>43406</v>
      </c>
      <c r="C89" s="1">
        <v>43437</v>
      </c>
      <c r="D89">
        <v>60</v>
      </c>
      <c r="E89" t="s">
        <v>14</v>
      </c>
      <c r="F89" s="2">
        <v>86.88</v>
      </c>
      <c r="G89" s="1">
        <v>43437</v>
      </c>
      <c r="H89" s="2">
        <f t="shared" si="1"/>
        <v>1.448</v>
      </c>
    </row>
    <row r="90" spans="1:8" x14ac:dyDescent="0.25">
      <c r="A90" t="s">
        <v>13</v>
      </c>
      <c r="B90" s="1">
        <v>43438</v>
      </c>
      <c r="C90" s="1">
        <v>43468</v>
      </c>
      <c r="D90">
        <v>73</v>
      </c>
      <c r="E90" t="s">
        <v>14</v>
      </c>
      <c r="F90" s="2">
        <v>118.37</v>
      </c>
      <c r="G90" s="1">
        <v>43468</v>
      </c>
      <c r="H90" s="2">
        <f t="shared" si="1"/>
        <v>1.6215068493150686</v>
      </c>
    </row>
    <row r="91" spans="1:8" x14ac:dyDescent="0.25">
      <c r="A91" t="s">
        <v>13</v>
      </c>
      <c r="B91" s="1">
        <v>43469</v>
      </c>
      <c r="C91" s="1">
        <v>43497</v>
      </c>
      <c r="D91">
        <v>61</v>
      </c>
      <c r="E91" t="s">
        <v>14</v>
      </c>
      <c r="F91" s="2">
        <v>99.28</v>
      </c>
      <c r="G91" s="1">
        <v>43497</v>
      </c>
      <c r="H91" s="2">
        <f t="shared" si="1"/>
        <v>1.6275409836065573</v>
      </c>
    </row>
    <row r="92" spans="1:8" x14ac:dyDescent="0.25">
      <c r="A92" t="s">
        <v>13</v>
      </c>
      <c r="B92" s="1">
        <v>43498</v>
      </c>
      <c r="C92" s="1">
        <v>43529</v>
      </c>
      <c r="D92">
        <v>86</v>
      </c>
      <c r="E92" t="s">
        <v>14</v>
      </c>
      <c r="F92" s="2">
        <v>152.16999999999999</v>
      </c>
      <c r="G92" s="1">
        <v>43529</v>
      </c>
      <c r="H92" s="2">
        <f t="shared" si="1"/>
        <v>1.7694186046511626</v>
      </c>
    </row>
    <row r="93" spans="1:8" x14ac:dyDescent="0.25">
      <c r="A93" t="s">
        <v>13</v>
      </c>
      <c r="B93" s="1">
        <v>43530</v>
      </c>
      <c r="C93" s="1">
        <v>43558</v>
      </c>
      <c r="D93">
        <v>48</v>
      </c>
      <c r="E93" t="s">
        <v>14</v>
      </c>
      <c r="F93" s="2">
        <v>75.63</v>
      </c>
      <c r="G93" s="1">
        <v>43558</v>
      </c>
      <c r="H93" s="2">
        <f t="shared" si="1"/>
        <v>1.5756249999999998</v>
      </c>
    </row>
    <row r="94" spans="1:8" x14ac:dyDescent="0.25">
      <c r="A94" t="s">
        <v>13</v>
      </c>
      <c r="B94" s="1">
        <v>43559</v>
      </c>
      <c r="C94" s="1">
        <v>43588</v>
      </c>
      <c r="D94">
        <v>17</v>
      </c>
      <c r="E94" t="s">
        <v>14</v>
      </c>
      <c r="F94" s="2">
        <v>24.77</v>
      </c>
      <c r="G94" s="1">
        <v>43588</v>
      </c>
      <c r="H94" s="2">
        <f t="shared" si="1"/>
        <v>1.4570588235294117</v>
      </c>
    </row>
    <row r="95" spans="1:8" x14ac:dyDescent="0.25">
      <c r="A95" t="s">
        <v>13</v>
      </c>
      <c r="B95" s="1">
        <v>43589</v>
      </c>
      <c r="C95" s="1">
        <v>43620</v>
      </c>
      <c r="D95">
        <v>23</v>
      </c>
      <c r="E95" t="s">
        <v>14</v>
      </c>
      <c r="F95" s="2">
        <v>34.049999999999997</v>
      </c>
      <c r="G95" s="1">
        <v>43620</v>
      </c>
      <c r="H95" s="2">
        <f t="shared" si="1"/>
        <v>1.4804347826086954</v>
      </c>
    </row>
    <row r="96" spans="1:8" x14ac:dyDescent="0.25">
      <c r="A96" t="s">
        <v>13</v>
      </c>
      <c r="B96" s="1">
        <v>43621</v>
      </c>
      <c r="C96" s="1">
        <v>43649</v>
      </c>
      <c r="D96">
        <v>7</v>
      </c>
      <c r="E96" t="s">
        <v>14</v>
      </c>
      <c r="F96" s="2">
        <v>9.56</v>
      </c>
      <c r="G96" s="1">
        <v>43649</v>
      </c>
      <c r="H96" s="2">
        <f t="shared" si="1"/>
        <v>1.3657142857142859</v>
      </c>
    </row>
    <row r="97" spans="1:8" x14ac:dyDescent="0.25">
      <c r="A97" t="s">
        <v>13</v>
      </c>
      <c r="B97" s="1">
        <v>43650</v>
      </c>
      <c r="C97" s="1">
        <v>43679</v>
      </c>
      <c r="D97">
        <v>10</v>
      </c>
      <c r="E97" t="s">
        <v>14</v>
      </c>
      <c r="F97" s="2">
        <v>14.36</v>
      </c>
      <c r="G97" s="1">
        <v>43679</v>
      </c>
      <c r="H97" s="2">
        <f t="shared" si="1"/>
        <v>1.4359999999999999</v>
      </c>
    </row>
    <row r="98" spans="1:8" x14ac:dyDescent="0.25">
      <c r="A98" t="s">
        <v>13</v>
      </c>
      <c r="B98" s="1">
        <v>43680</v>
      </c>
      <c r="C98" s="1">
        <v>43712</v>
      </c>
      <c r="D98">
        <v>11</v>
      </c>
      <c r="E98" t="s">
        <v>14</v>
      </c>
      <c r="F98" s="2">
        <v>15.56</v>
      </c>
      <c r="G98" s="1">
        <v>43712</v>
      </c>
      <c r="H98" s="2">
        <f t="shared" si="1"/>
        <v>1.4145454545454546</v>
      </c>
    </row>
    <row r="99" spans="1:8" x14ac:dyDescent="0.25">
      <c r="A99" t="s">
        <v>13</v>
      </c>
      <c r="B99" s="1">
        <v>43713</v>
      </c>
      <c r="C99" s="1">
        <v>43741</v>
      </c>
      <c r="D99">
        <v>8</v>
      </c>
      <c r="E99" t="s">
        <v>14</v>
      </c>
      <c r="F99" s="2">
        <v>11.03</v>
      </c>
      <c r="G99" s="1">
        <v>43741</v>
      </c>
      <c r="H99" s="2">
        <f t="shared" si="1"/>
        <v>1.3787499999999999</v>
      </c>
    </row>
    <row r="100" spans="1:8" x14ac:dyDescent="0.25">
      <c r="A100" t="s">
        <v>13</v>
      </c>
      <c r="B100" s="1">
        <v>43742</v>
      </c>
      <c r="C100" s="1">
        <v>43770</v>
      </c>
      <c r="D100">
        <v>16</v>
      </c>
      <c r="E100" t="s">
        <v>14</v>
      </c>
      <c r="F100" s="2">
        <v>22.72</v>
      </c>
      <c r="G100" s="1">
        <v>43770</v>
      </c>
      <c r="H100" s="2">
        <f t="shared" si="1"/>
        <v>1.42</v>
      </c>
    </row>
    <row r="101" spans="1:8" x14ac:dyDescent="0.25">
      <c r="A101" t="s">
        <v>13</v>
      </c>
      <c r="B101" s="1">
        <v>43771</v>
      </c>
      <c r="C101" s="1">
        <v>43803</v>
      </c>
      <c r="D101">
        <v>52</v>
      </c>
      <c r="E101" t="s">
        <v>14</v>
      </c>
      <c r="F101" s="2">
        <v>76.61</v>
      </c>
      <c r="G101" s="1">
        <v>43803</v>
      </c>
      <c r="H101" s="2">
        <f t="shared" si="1"/>
        <v>1.4732692307692308</v>
      </c>
    </row>
    <row r="102" spans="1:8" x14ac:dyDescent="0.25">
      <c r="A102" t="s">
        <v>13</v>
      </c>
      <c r="B102" s="1">
        <v>43804</v>
      </c>
      <c r="C102" s="1">
        <v>43833</v>
      </c>
      <c r="D102">
        <v>61</v>
      </c>
      <c r="E102" t="s">
        <v>14</v>
      </c>
      <c r="F102" s="2">
        <v>93.43</v>
      </c>
      <c r="G102" s="1">
        <v>43833</v>
      </c>
      <c r="H102" s="2">
        <f t="shared" si="1"/>
        <v>1.5316393442622951</v>
      </c>
    </row>
    <row r="103" spans="1:8" x14ac:dyDescent="0.25">
      <c r="A103" t="s">
        <v>13</v>
      </c>
      <c r="B103" s="1">
        <v>43834</v>
      </c>
      <c r="C103" s="1">
        <v>43864</v>
      </c>
      <c r="D103">
        <v>78</v>
      </c>
      <c r="E103" t="s">
        <v>14</v>
      </c>
      <c r="F103" s="2">
        <v>130.04</v>
      </c>
      <c r="G103" s="1">
        <v>43864</v>
      </c>
      <c r="H103" s="2">
        <f t="shared" si="1"/>
        <v>1.6671794871794872</v>
      </c>
    </row>
    <row r="104" spans="1:8" x14ac:dyDescent="0.25">
      <c r="A104" t="s">
        <v>13</v>
      </c>
      <c r="B104" s="1">
        <v>43865</v>
      </c>
      <c r="C104" s="1">
        <v>43894</v>
      </c>
      <c r="D104">
        <v>43</v>
      </c>
      <c r="E104" t="s">
        <v>14</v>
      </c>
      <c r="F104" s="2">
        <v>67.040000000000006</v>
      </c>
      <c r="G104" s="1">
        <v>43894</v>
      </c>
      <c r="H104" s="2">
        <f t="shared" si="1"/>
        <v>1.5590697674418605</v>
      </c>
    </row>
    <row r="105" spans="1:8" x14ac:dyDescent="0.25">
      <c r="A105" t="s">
        <v>13</v>
      </c>
      <c r="B105" s="1">
        <v>43895</v>
      </c>
      <c r="C105" s="1">
        <v>43923</v>
      </c>
      <c r="D105">
        <v>57</v>
      </c>
      <c r="E105" t="s">
        <v>14</v>
      </c>
      <c r="F105" s="2">
        <v>98.17</v>
      </c>
      <c r="G105" s="1">
        <v>43923</v>
      </c>
      <c r="H105" s="2">
        <f t="shared" si="1"/>
        <v>1.722280701754386</v>
      </c>
    </row>
    <row r="106" spans="1:8" x14ac:dyDescent="0.25">
      <c r="A106" t="s">
        <v>13</v>
      </c>
      <c r="B106" s="1">
        <v>43924</v>
      </c>
      <c r="C106" s="1">
        <v>43955</v>
      </c>
      <c r="D106">
        <v>25</v>
      </c>
      <c r="E106" t="s">
        <v>14</v>
      </c>
      <c r="F106" s="2">
        <v>41.91</v>
      </c>
      <c r="G106" s="1">
        <v>43955</v>
      </c>
      <c r="H106" s="2">
        <f t="shared" si="1"/>
        <v>1.6763999999999999</v>
      </c>
    </row>
    <row r="107" spans="1:8" x14ac:dyDescent="0.25">
      <c r="A107" t="s">
        <v>13</v>
      </c>
      <c r="B107" s="1">
        <v>43956</v>
      </c>
      <c r="C107" s="1">
        <v>43985</v>
      </c>
      <c r="D107">
        <v>13</v>
      </c>
      <c r="E107" t="s">
        <v>14</v>
      </c>
      <c r="F107" s="2">
        <v>19.100000000000001</v>
      </c>
      <c r="G107" s="1">
        <v>43985</v>
      </c>
      <c r="H107" s="2">
        <f t="shared" si="1"/>
        <v>1.4692307692307693</v>
      </c>
    </row>
    <row r="108" spans="1:8" x14ac:dyDescent="0.25">
      <c r="A108" t="s">
        <v>13</v>
      </c>
      <c r="B108" s="1">
        <v>43986</v>
      </c>
      <c r="C108" s="1">
        <v>44014</v>
      </c>
      <c r="D108">
        <v>10</v>
      </c>
      <c r="E108" t="s">
        <v>14</v>
      </c>
      <c r="F108" s="2">
        <v>14.82</v>
      </c>
      <c r="G108" s="1">
        <v>44014</v>
      </c>
      <c r="H108" s="2">
        <f t="shared" si="1"/>
        <v>1.482</v>
      </c>
    </row>
    <row r="109" spans="1:8" x14ac:dyDescent="0.25">
      <c r="A109" t="s">
        <v>13</v>
      </c>
      <c r="B109" s="1">
        <v>44015</v>
      </c>
      <c r="C109" s="1">
        <v>44043</v>
      </c>
      <c r="D109">
        <v>9</v>
      </c>
      <c r="E109" t="s">
        <v>14</v>
      </c>
      <c r="F109" s="2">
        <v>13.28</v>
      </c>
      <c r="G109" s="1">
        <v>44043</v>
      </c>
      <c r="H109" s="2">
        <f t="shared" si="1"/>
        <v>1.4755555555555555</v>
      </c>
    </row>
    <row r="110" spans="1:8" x14ac:dyDescent="0.25">
      <c r="A110" t="s">
        <v>13</v>
      </c>
      <c r="B110" s="1">
        <v>44044</v>
      </c>
      <c r="C110" s="1">
        <v>44075</v>
      </c>
      <c r="D110">
        <v>13</v>
      </c>
      <c r="E110" t="s">
        <v>14</v>
      </c>
      <c r="F110" s="2">
        <v>19.84</v>
      </c>
      <c r="G110" s="1">
        <v>44075</v>
      </c>
      <c r="H110" s="2">
        <f t="shared" si="1"/>
        <v>1.5261538461538462</v>
      </c>
    </row>
    <row r="111" spans="1:8" x14ac:dyDescent="0.25">
      <c r="A111" t="s">
        <v>13</v>
      </c>
      <c r="B111" s="1">
        <v>44076</v>
      </c>
      <c r="C111" s="1">
        <v>44105</v>
      </c>
      <c r="D111">
        <v>12</v>
      </c>
      <c r="E111" t="s">
        <v>14</v>
      </c>
      <c r="F111" s="2">
        <v>19.97</v>
      </c>
      <c r="G111" s="1">
        <v>44105</v>
      </c>
      <c r="H111" s="2">
        <f t="shared" si="1"/>
        <v>1.6641666666666666</v>
      </c>
    </row>
    <row r="112" spans="1:8" x14ac:dyDescent="0.25">
      <c r="A112" t="s">
        <v>13</v>
      </c>
      <c r="B112" s="1">
        <v>44106</v>
      </c>
      <c r="C112" s="1">
        <v>44137</v>
      </c>
      <c r="D112">
        <v>11</v>
      </c>
      <c r="E112" t="s">
        <v>14</v>
      </c>
      <c r="F112" s="2">
        <v>17.96</v>
      </c>
      <c r="G112" s="1">
        <v>44137</v>
      </c>
      <c r="H112" s="2">
        <f t="shared" si="1"/>
        <v>1.6327272727272728</v>
      </c>
    </row>
    <row r="113" spans="1:8" x14ac:dyDescent="0.25">
      <c r="A113" t="s">
        <v>13</v>
      </c>
      <c r="B113" s="1">
        <v>44138</v>
      </c>
      <c r="C113" s="1">
        <v>44168</v>
      </c>
      <c r="D113">
        <v>66</v>
      </c>
      <c r="E113" t="s">
        <v>14</v>
      </c>
      <c r="F113" s="2">
        <v>121.9</v>
      </c>
      <c r="G113" s="1">
        <v>44168</v>
      </c>
      <c r="H113" s="2">
        <f t="shared" si="1"/>
        <v>1.8469696969696972</v>
      </c>
    </row>
    <row r="114" spans="1:8" x14ac:dyDescent="0.25">
      <c r="A114" t="s">
        <v>13</v>
      </c>
      <c r="B114" s="1">
        <v>44169</v>
      </c>
      <c r="C114" s="1">
        <v>44200</v>
      </c>
      <c r="D114">
        <v>77</v>
      </c>
      <c r="E114" t="s">
        <v>14</v>
      </c>
      <c r="F114" s="2">
        <v>137.93</v>
      </c>
      <c r="G114" s="1">
        <v>44200</v>
      </c>
      <c r="H114" s="2">
        <f t="shared" si="1"/>
        <v>1.7912987012987014</v>
      </c>
    </row>
    <row r="115" spans="1:8" x14ac:dyDescent="0.25">
      <c r="A115" t="s">
        <v>13</v>
      </c>
      <c r="B115" s="1">
        <v>44201</v>
      </c>
      <c r="C115" s="1">
        <v>44229</v>
      </c>
      <c r="D115">
        <v>72</v>
      </c>
      <c r="E115" t="s">
        <v>14</v>
      </c>
      <c r="F115" s="2">
        <v>130.08000000000001</v>
      </c>
      <c r="G115" s="1">
        <v>44229</v>
      </c>
      <c r="H115" s="2">
        <f t="shared" si="1"/>
        <v>1.8066666666666669</v>
      </c>
    </row>
    <row r="116" spans="1:8" x14ac:dyDescent="0.25">
      <c r="A116" t="s">
        <v>13</v>
      </c>
      <c r="B116" s="1">
        <v>44230</v>
      </c>
      <c r="C116" s="1">
        <v>44259</v>
      </c>
      <c r="D116">
        <v>61</v>
      </c>
      <c r="E116" t="s">
        <v>14</v>
      </c>
      <c r="F116" s="2">
        <v>113.03</v>
      </c>
      <c r="G116" s="1">
        <v>44259</v>
      </c>
      <c r="H116" s="2">
        <f t="shared" si="1"/>
        <v>1.8529508196721312</v>
      </c>
    </row>
    <row r="117" spans="1:8" x14ac:dyDescent="0.25">
      <c r="A117" t="s">
        <v>13</v>
      </c>
      <c r="B117" s="1">
        <v>44260</v>
      </c>
      <c r="C117" s="1">
        <v>44288</v>
      </c>
      <c r="D117">
        <v>51</v>
      </c>
      <c r="E117" t="s">
        <v>14</v>
      </c>
      <c r="F117" s="2">
        <v>93.82</v>
      </c>
      <c r="G117" s="1">
        <v>44288</v>
      </c>
      <c r="H117" s="2">
        <f t="shared" si="1"/>
        <v>1.8396078431372547</v>
      </c>
    </row>
    <row r="118" spans="1:8" x14ac:dyDescent="0.25">
      <c r="A118" t="s">
        <v>13</v>
      </c>
      <c r="B118" s="1">
        <v>44289</v>
      </c>
      <c r="C118" s="1">
        <v>44320</v>
      </c>
      <c r="D118">
        <v>24</v>
      </c>
      <c r="E118" t="s">
        <v>14</v>
      </c>
      <c r="F118" s="2">
        <v>41.69</v>
      </c>
      <c r="G118" s="1">
        <v>44320</v>
      </c>
      <c r="H118" s="2">
        <f t="shared" si="1"/>
        <v>1.7370833333333333</v>
      </c>
    </row>
    <row r="119" spans="1:8" x14ac:dyDescent="0.25">
      <c r="A119" t="s">
        <v>13</v>
      </c>
      <c r="B119" s="1">
        <v>44321</v>
      </c>
      <c r="C119" s="1">
        <v>44350</v>
      </c>
      <c r="D119">
        <v>7</v>
      </c>
      <c r="E119" t="s">
        <v>14</v>
      </c>
      <c r="F119" s="2">
        <v>10.86</v>
      </c>
      <c r="G119" s="1">
        <v>44350</v>
      </c>
      <c r="H119" s="2">
        <f t="shared" si="1"/>
        <v>1.5514285714285714</v>
      </c>
    </row>
    <row r="120" spans="1:8" x14ac:dyDescent="0.25">
      <c r="A120" t="s">
        <v>13</v>
      </c>
      <c r="B120" s="1">
        <v>44351</v>
      </c>
      <c r="C120" s="1">
        <v>44379</v>
      </c>
      <c r="D120">
        <v>9</v>
      </c>
      <c r="E120" t="s">
        <v>14</v>
      </c>
      <c r="F120" s="2">
        <v>14.01</v>
      </c>
      <c r="G120" s="1">
        <v>44379</v>
      </c>
      <c r="H120" s="2">
        <f t="shared" si="1"/>
        <v>1.5566666666666666</v>
      </c>
    </row>
    <row r="121" spans="1:8" x14ac:dyDescent="0.25">
      <c r="A121" t="s">
        <v>13</v>
      </c>
      <c r="B121" s="1">
        <v>44380</v>
      </c>
      <c r="C121" s="1">
        <v>44411</v>
      </c>
      <c r="D121">
        <v>9</v>
      </c>
      <c r="E121" t="s">
        <v>14</v>
      </c>
      <c r="F121" s="2">
        <v>13.8</v>
      </c>
      <c r="G121" s="1">
        <v>44411</v>
      </c>
      <c r="H121" s="2">
        <f t="shared" si="1"/>
        <v>1.5333333333333334</v>
      </c>
    </row>
    <row r="122" spans="1:8" x14ac:dyDescent="0.25">
      <c r="A122" t="s">
        <v>13</v>
      </c>
      <c r="B122" s="1">
        <v>44412</v>
      </c>
      <c r="C122" s="1">
        <v>44441</v>
      </c>
      <c r="D122">
        <v>8</v>
      </c>
      <c r="E122" t="s">
        <v>14</v>
      </c>
      <c r="F122" s="2">
        <v>12.66</v>
      </c>
      <c r="G122" s="1">
        <v>44441</v>
      </c>
      <c r="H122" s="2">
        <f t="shared" si="1"/>
        <v>1.5825</v>
      </c>
    </row>
    <row r="123" spans="1:8" x14ac:dyDescent="0.25">
      <c r="A123" t="s">
        <v>13</v>
      </c>
      <c r="B123" s="1">
        <v>44442</v>
      </c>
      <c r="C123" s="1">
        <v>44473</v>
      </c>
      <c r="D123">
        <v>11</v>
      </c>
      <c r="E123" t="s">
        <v>14</v>
      </c>
      <c r="F123" s="2">
        <v>20.100000000000001</v>
      </c>
      <c r="G123" s="1">
        <v>44473</v>
      </c>
      <c r="H123" s="2">
        <f t="shared" si="1"/>
        <v>1.8272727272727274</v>
      </c>
    </row>
    <row r="124" spans="1:8" x14ac:dyDescent="0.25">
      <c r="A124" t="s">
        <v>13</v>
      </c>
      <c r="B124" s="1">
        <v>44474</v>
      </c>
      <c r="C124" s="1">
        <v>44502</v>
      </c>
      <c r="D124">
        <v>17</v>
      </c>
      <c r="E124" t="s">
        <v>14</v>
      </c>
      <c r="F124" s="2">
        <v>36.25</v>
      </c>
      <c r="G124" s="1">
        <v>44502</v>
      </c>
      <c r="H124" s="2">
        <f t="shared" si="1"/>
        <v>2.1323529411764706</v>
      </c>
    </row>
    <row r="125" spans="1:8" x14ac:dyDescent="0.25">
      <c r="A125" t="s">
        <v>13</v>
      </c>
      <c r="B125" s="1">
        <v>44503</v>
      </c>
      <c r="C125" s="1">
        <v>44533</v>
      </c>
      <c r="D125">
        <v>45</v>
      </c>
      <c r="E125" t="s">
        <v>14</v>
      </c>
      <c r="F125" s="2">
        <v>98.29</v>
      </c>
      <c r="G125" s="1">
        <v>44533</v>
      </c>
      <c r="H125" s="2">
        <f t="shared" si="1"/>
        <v>2.1842222222222225</v>
      </c>
    </row>
    <row r="129" spans="4:4" x14ac:dyDescent="0.25">
      <c r="D129">
        <f>SUM(D7:D125)</f>
        <v>4129</v>
      </c>
    </row>
    <row r="130" spans="4:4" x14ac:dyDescent="0.25">
      <c r="D130">
        <f>D129/(9+10/12)</f>
        <v>419.89830508474574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CC9CC-4350-49AB-BB27-3C6C71FA6A45}">
  <dimension ref="T1:V31"/>
  <sheetViews>
    <sheetView tabSelected="1" workbookViewId="0">
      <selection activeCell="V24" sqref="V24"/>
    </sheetView>
  </sheetViews>
  <sheetFormatPr defaultRowHeight="15" x14ac:dyDescent="0.25"/>
  <cols>
    <col min="20" max="20" width="34.28515625" bestFit="1" customWidth="1"/>
    <col min="22" max="22" width="58.140625" bestFit="1" customWidth="1"/>
  </cols>
  <sheetData>
    <row r="1" spans="20:22" x14ac:dyDescent="0.25">
      <c r="T1" t="s">
        <v>165</v>
      </c>
    </row>
    <row r="3" spans="20:22" x14ac:dyDescent="0.25">
      <c r="T3" t="s">
        <v>160</v>
      </c>
    </row>
    <row r="5" spans="20:22" x14ac:dyDescent="0.25">
      <c r="T5" t="s">
        <v>161</v>
      </c>
    </row>
    <row r="8" spans="20:22" x14ac:dyDescent="0.25">
      <c r="T8" t="s">
        <v>163</v>
      </c>
    </row>
    <row r="10" spans="20:22" ht="15.75" thickBot="1" x14ac:dyDescent="0.3">
      <c r="T10" s="42" t="s">
        <v>129</v>
      </c>
    </row>
    <row r="11" spans="20:22" ht="15.75" thickBot="1" x14ac:dyDescent="0.3">
      <c r="T11" t="s">
        <v>146</v>
      </c>
      <c r="U11" s="3">
        <v>12</v>
      </c>
      <c r="V11" t="s">
        <v>143</v>
      </c>
    </row>
    <row r="12" spans="20:22" ht="15.75" thickBot="1" x14ac:dyDescent="0.3">
      <c r="T12" t="s">
        <v>147</v>
      </c>
      <c r="U12" s="3">
        <v>25</v>
      </c>
      <c r="V12" t="s">
        <v>166</v>
      </c>
    </row>
    <row r="13" spans="20:22" ht="15.75" thickBot="1" x14ac:dyDescent="0.3">
      <c r="T13" t="s">
        <v>149</v>
      </c>
      <c r="U13" s="3">
        <v>5</v>
      </c>
      <c r="V13" t="s">
        <v>150</v>
      </c>
    </row>
    <row r="14" spans="20:22" ht="15.75" thickBot="1" x14ac:dyDescent="0.3">
      <c r="T14" t="s">
        <v>148</v>
      </c>
      <c r="U14" s="3">
        <v>0</v>
      </c>
    </row>
    <row r="16" spans="20:22" x14ac:dyDescent="0.25">
      <c r="T16" s="42" t="s">
        <v>130</v>
      </c>
    </row>
    <row r="17" spans="20:22" x14ac:dyDescent="0.25">
      <c r="T17" t="s">
        <v>137</v>
      </c>
      <c r="U17" s="43">
        <f>'scenario data'!AE20</f>
        <v>10598.94829059829</v>
      </c>
    </row>
    <row r="18" spans="20:22" x14ac:dyDescent="0.25">
      <c r="T18" t="s">
        <v>136</v>
      </c>
      <c r="U18" s="48">
        <f>'scenario data'!AV7</f>
        <v>10.560960000000001</v>
      </c>
    </row>
    <row r="19" spans="20:22" x14ac:dyDescent="0.25">
      <c r="T19" t="s">
        <v>138</v>
      </c>
      <c r="U19" s="47">
        <f>'scenario data'!BE7</f>
        <v>24</v>
      </c>
      <c r="V19" s="9"/>
    </row>
    <row r="20" spans="20:22" x14ac:dyDescent="0.25">
      <c r="T20" t="s">
        <v>139</v>
      </c>
      <c r="U20" s="48">
        <f>'scenario data'!BQ7</f>
        <v>15.360000000000003</v>
      </c>
    </row>
    <row r="21" spans="20:22" x14ac:dyDescent="0.25">
      <c r="T21" t="s">
        <v>131</v>
      </c>
      <c r="U21" s="49">
        <f>'scenario data'!CA21</f>
        <v>0.5293017844578114</v>
      </c>
    </row>
    <row r="22" spans="20:22" x14ac:dyDescent="0.25">
      <c r="T22" t="s">
        <v>132</v>
      </c>
      <c r="U22" s="49">
        <f>'scenario data'!CB21</f>
        <v>0.47069821554218871</v>
      </c>
    </row>
    <row r="23" spans="20:22" x14ac:dyDescent="0.25">
      <c r="T23" t="s">
        <v>133</v>
      </c>
      <c r="U23" s="49">
        <f>1+'scenario data'!CC22</f>
        <v>1.6604690163805862</v>
      </c>
    </row>
    <row r="24" spans="20:22" x14ac:dyDescent="0.25">
      <c r="T24" t="s">
        <v>134</v>
      </c>
      <c r="U24" s="50">
        <f>'scenario data'!CK7</f>
        <v>33014</v>
      </c>
      <c r="V24" t="s">
        <v>169</v>
      </c>
    </row>
    <row r="25" spans="20:22" x14ac:dyDescent="0.25">
      <c r="T25" t="s">
        <v>135</v>
      </c>
      <c r="U25" s="51">
        <f>'scenario data'!CW7</f>
        <v>3.5282172754946735</v>
      </c>
    </row>
    <row r="28" spans="20:22" x14ac:dyDescent="0.25">
      <c r="T28" t="s">
        <v>159</v>
      </c>
    </row>
    <row r="30" spans="20:22" x14ac:dyDescent="0.25">
      <c r="T30" t="s">
        <v>167</v>
      </c>
    </row>
    <row r="31" spans="20:22" x14ac:dyDescent="0.25">
      <c r="T31" t="s">
        <v>162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821A72-B33C-439A-BDA1-F01F3F4D57E4}">
  <dimension ref="A1:CX23"/>
  <sheetViews>
    <sheetView topLeftCell="BU1" zoomScaleNormal="100" workbookViewId="0">
      <selection activeCell="CJ6" sqref="CJ6:CJ7"/>
    </sheetView>
  </sheetViews>
  <sheetFormatPr defaultRowHeight="15" x14ac:dyDescent="0.25"/>
  <cols>
    <col min="2" max="14" width="9.140625" customWidth="1"/>
    <col min="15" max="15" width="11" customWidth="1"/>
    <col min="16" max="16" width="9.140625" customWidth="1"/>
    <col min="17" max="17" width="9.85546875" customWidth="1"/>
    <col min="18" max="23" width="9.140625" customWidth="1"/>
    <col min="24" max="24" width="11.5703125" customWidth="1"/>
    <col min="25" max="27" width="9.140625" customWidth="1"/>
    <col min="28" max="30" width="11.85546875" customWidth="1"/>
    <col min="31" max="33" width="9.140625" customWidth="1"/>
    <col min="34" max="34" width="11.85546875" customWidth="1"/>
    <col min="35" max="35" width="9.140625" customWidth="1"/>
    <col min="36" max="36" width="12.7109375" customWidth="1"/>
    <col min="37" max="43" width="11.28515625" customWidth="1"/>
    <col min="44" max="44" width="11.5703125" customWidth="1"/>
    <col min="45" max="46" width="9.140625" customWidth="1"/>
    <col min="48" max="48" width="9.140625" customWidth="1"/>
    <col min="49" max="49" width="11.28515625" customWidth="1"/>
    <col min="50" max="51" width="9.140625" customWidth="1"/>
    <col min="52" max="52" width="12.85546875" customWidth="1"/>
    <col min="53" max="53" width="9.140625" customWidth="1"/>
    <col min="54" max="66" width="12.7109375" customWidth="1"/>
    <col min="67" max="70" width="9.140625" customWidth="1"/>
    <col min="71" max="71" width="10.85546875" customWidth="1"/>
    <col min="72" max="72" width="11.85546875" customWidth="1"/>
    <col min="73" max="79" width="13.42578125" customWidth="1"/>
    <col min="80" max="80" width="16.7109375" customWidth="1"/>
    <col min="81" max="82" width="13.42578125" customWidth="1"/>
    <col min="83" max="87" width="9.140625" customWidth="1"/>
    <col min="88" max="88" width="22.140625" customWidth="1"/>
    <col min="90" max="90" width="11.42578125" customWidth="1"/>
    <col min="91" max="99" width="9.140625" customWidth="1"/>
    <col min="100" max="100" width="13.5703125" customWidth="1"/>
  </cols>
  <sheetData>
    <row r="1" spans="1:102" x14ac:dyDescent="0.25">
      <c r="A1" t="s">
        <v>49</v>
      </c>
      <c r="BW1" t="s">
        <v>107</v>
      </c>
    </row>
    <row r="2" spans="1:102" x14ac:dyDescent="0.25">
      <c r="BW2" t="s">
        <v>108</v>
      </c>
    </row>
    <row r="3" spans="1:102" x14ac:dyDescent="0.25">
      <c r="C3" t="s">
        <v>59</v>
      </c>
      <c r="AJ3" t="s">
        <v>66</v>
      </c>
      <c r="BW3" t="s">
        <v>109</v>
      </c>
    </row>
    <row r="4" spans="1:102" ht="30" x14ac:dyDescent="0.25">
      <c r="C4" t="s">
        <v>62</v>
      </c>
      <c r="AB4" s="14" t="s">
        <v>63</v>
      </c>
      <c r="AC4" s="14"/>
      <c r="AD4" s="14"/>
      <c r="AE4" t="s">
        <v>65</v>
      </c>
      <c r="AJ4" t="s">
        <v>67</v>
      </c>
      <c r="AN4" t="s">
        <v>141</v>
      </c>
      <c r="AR4" t="s">
        <v>142</v>
      </c>
      <c r="AV4" t="s">
        <v>140</v>
      </c>
      <c r="BC4" t="s">
        <v>74</v>
      </c>
      <c r="CE4" s="46" t="s">
        <v>128</v>
      </c>
    </row>
    <row r="5" spans="1:102" s="14" customFormat="1" ht="60" x14ac:dyDescent="0.25">
      <c r="C5" s="14" t="s">
        <v>61</v>
      </c>
      <c r="O5" s="14" t="s">
        <v>50</v>
      </c>
      <c r="Q5" s="14" t="s">
        <v>104</v>
      </c>
      <c r="S5" s="14" t="s">
        <v>51</v>
      </c>
      <c r="T5" s="14" t="s">
        <v>60</v>
      </c>
      <c r="W5" s="14" t="s">
        <v>53</v>
      </c>
      <c r="AF5" s="14" t="s">
        <v>34</v>
      </c>
      <c r="CA5" s="14" t="s">
        <v>86</v>
      </c>
      <c r="CE5" s="27" t="s">
        <v>47</v>
      </c>
      <c r="CL5" s="14" t="s">
        <v>95</v>
      </c>
      <c r="CP5" s="27" t="s">
        <v>96</v>
      </c>
    </row>
    <row r="6" spans="1:102" s="14" customFormat="1" ht="135.75" thickBot="1" x14ac:dyDescent="0.3">
      <c r="A6" s="5" t="s">
        <v>36</v>
      </c>
      <c r="B6" s="5" t="s">
        <v>88</v>
      </c>
      <c r="C6" s="5">
        <v>2012</v>
      </c>
      <c r="D6" s="5">
        <f t="shared" ref="D6:K6" si="0">C6+1</f>
        <v>2013</v>
      </c>
      <c r="E6" s="5">
        <f t="shared" si="0"/>
        <v>2014</v>
      </c>
      <c r="F6" s="5">
        <f t="shared" si="0"/>
        <v>2015</v>
      </c>
      <c r="G6" s="5">
        <f t="shared" si="0"/>
        <v>2016</v>
      </c>
      <c r="H6" s="5">
        <f t="shared" si="0"/>
        <v>2017</v>
      </c>
      <c r="I6" s="5">
        <f t="shared" si="0"/>
        <v>2018</v>
      </c>
      <c r="J6" s="5">
        <f t="shared" si="0"/>
        <v>2019</v>
      </c>
      <c r="K6" s="5">
        <f t="shared" si="0"/>
        <v>2020</v>
      </c>
      <c r="L6" s="5" t="s">
        <v>27</v>
      </c>
      <c r="M6" s="5" t="s">
        <v>28</v>
      </c>
      <c r="N6" s="5" t="s">
        <v>29</v>
      </c>
      <c r="O6" s="5" t="s">
        <v>28</v>
      </c>
      <c r="P6" s="5" t="s">
        <v>29</v>
      </c>
      <c r="Q6" s="5" t="s">
        <v>29</v>
      </c>
      <c r="R6" s="5" t="s">
        <v>105</v>
      </c>
      <c r="S6" s="5"/>
      <c r="T6" s="5" t="s">
        <v>28</v>
      </c>
      <c r="U6" s="5" t="s">
        <v>29</v>
      </c>
      <c r="V6" s="5" t="s">
        <v>31</v>
      </c>
      <c r="W6" s="5" t="s">
        <v>54</v>
      </c>
      <c r="X6" s="5" t="s">
        <v>55</v>
      </c>
      <c r="Y6" s="5" t="s">
        <v>56</v>
      </c>
      <c r="Z6" s="5" t="s">
        <v>33</v>
      </c>
      <c r="AA6" s="5" t="s">
        <v>57</v>
      </c>
      <c r="AB6" s="5" t="s">
        <v>58</v>
      </c>
      <c r="AC6" s="5" t="s">
        <v>97</v>
      </c>
      <c r="AD6" s="5" t="s">
        <v>98</v>
      </c>
      <c r="AE6" s="5" t="s">
        <v>64</v>
      </c>
      <c r="AF6" s="5" t="s">
        <v>29</v>
      </c>
      <c r="AG6" s="5" t="s">
        <v>28</v>
      </c>
      <c r="AH6" s="5" t="s">
        <v>35</v>
      </c>
      <c r="AI6" s="5" t="s">
        <v>31</v>
      </c>
      <c r="AJ6" s="5" t="s">
        <v>68</v>
      </c>
      <c r="AK6" s="5" t="s">
        <v>69</v>
      </c>
      <c r="AL6" s="5" t="s">
        <v>102</v>
      </c>
      <c r="AM6" s="5" t="s">
        <v>103</v>
      </c>
      <c r="AN6" s="5" t="s">
        <v>70</v>
      </c>
      <c r="AO6" s="5" t="s">
        <v>39</v>
      </c>
      <c r="AP6" s="5" t="s">
        <v>45</v>
      </c>
      <c r="AQ6" s="5" t="s">
        <v>71</v>
      </c>
      <c r="AR6" s="5" t="s">
        <v>70</v>
      </c>
      <c r="AS6" s="5" t="s">
        <v>39</v>
      </c>
      <c r="AT6" s="5" t="s">
        <v>45</v>
      </c>
      <c r="AU6" s="5" t="s">
        <v>71</v>
      </c>
      <c r="AV6" s="5" t="s">
        <v>82</v>
      </c>
      <c r="AW6" s="5" t="s">
        <v>83</v>
      </c>
      <c r="AX6" s="5" t="s">
        <v>37</v>
      </c>
      <c r="AY6" s="5" t="s">
        <v>38</v>
      </c>
      <c r="AZ6" s="5" t="s">
        <v>72</v>
      </c>
      <c r="BA6" s="5" t="s">
        <v>38</v>
      </c>
      <c r="BB6" s="5" t="s">
        <v>77</v>
      </c>
      <c r="BC6" s="5" t="s">
        <v>144</v>
      </c>
      <c r="BD6" s="5" t="s">
        <v>145</v>
      </c>
      <c r="BE6" s="5" t="s">
        <v>92</v>
      </c>
      <c r="BF6" s="5" t="s">
        <v>101</v>
      </c>
      <c r="BG6" s="5" t="s">
        <v>151</v>
      </c>
      <c r="BH6" s="5" t="s">
        <v>152</v>
      </c>
      <c r="BI6" s="5" t="s">
        <v>153</v>
      </c>
      <c r="BJ6" s="5" t="s">
        <v>154</v>
      </c>
      <c r="BK6" s="5" t="s">
        <v>155</v>
      </c>
      <c r="BL6" s="5" t="s">
        <v>156</v>
      </c>
      <c r="BM6" s="5" t="s">
        <v>157</v>
      </c>
      <c r="BN6" s="5" t="s">
        <v>158</v>
      </c>
      <c r="BO6" s="5" t="s">
        <v>75</v>
      </c>
      <c r="BP6" s="5" t="s">
        <v>76</v>
      </c>
      <c r="BQ6" s="5" t="s">
        <v>79</v>
      </c>
      <c r="BR6" s="5" t="s">
        <v>81</v>
      </c>
      <c r="BS6" s="5" t="s">
        <v>112</v>
      </c>
      <c r="BT6" s="5" t="s">
        <v>85</v>
      </c>
      <c r="BU6" s="5" t="s">
        <v>78</v>
      </c>
      <c r="BV6" s="5" t="s">
        <v>80</v>
      </c>
      <c r="BW6" s="35" t="s">
        <v>113</v>
      </c>
      <c r="BX6" s="35" t="s">
        <v>84</v>
      </c>
      <c r="BY6" s="35" t="s">
        <v>110</v>
      </c>
      <c r="BZ6" s="35" t="s">
        <v>111</v>
      </c>
      <c r="CA6" s="35" t="s">
        <v>87</v>
      </c>
      <c r="CB6" s="35" t="s">
        <v>89</v>
      </c>
      <c r="CC6" s="35" t="s">
        <v>106</v>
      </c>
      <c r="CE6" s="5" t="s">
        <v>164</v>
      </c>
      <c r="CF6" s="5" t="s">
        <v>90</v>
      </c>
      <c r="CG6" s="5" t="s">
        <v>48</v>
      </c>
      <c r="CH6" s="5" t="s">
        <v>46</v>
      </c>
      <c r="CI6" s="5" t="s">
        <v>48</v>
      </c>
      <c r="CJ6" s="5" t="s">
        <v>168</v>
      </c>
      <c r="CK6" s="5" t="s">
        <v>91</v>
      </c>
      <c r="CL6" s="5" t="s">
        <v>93</v>
      </c>
      <c r="CM6" s="5" t="s">
        <v>74</v>
      </c>
      <c r="CN6" s="5" t="s">
        <v>94</v>
      </c>
      <c r="CO6" s="5" t="s">
        <v>52</v>
      </c>
      <c r="CP6" s="5" t="s">
        <v>93</v>
      </c>
      <c r="CQ6" s="5" t="s">
        <v>74</v>
      </c>
      <c r="CR6" s="5" t="s">
        <v>94</v>
      </c>
      <c r="CS6" s="5" t="s">
        <v>52</v>
      </c>
      <c r="CT6" s="5" t="s">
        <v>31</v>
      </c>
      <c r="CU6" s="5" t="s">
        <v>116</v>
      </c>
      <c r="CV6" s="14" t="s">
        <v>117</v>
      </c>
      <c r="CW6" s="14" t="s">
        <v>99</v>
      </c>
      <c r="CX6" s="14" t="s">
        <v>100</v>
      </c>
    </row>
    <row r="7" spans="1:102" ht="15.75" thickBot="1" x14ac:dyDescent="0.3">
      <c r="A7" t="s">
        <v>15</v>
      </c>
      <c r="B7">
        <v>31</v>
      </c>
      <c r="C7">
        <v>99</v>
      </c>
      <c r="D7">
        <v>126</v>
      </c>
      <c r="E7">
        <v>63</v>
      </c>
      <c r="F7">
        <v>65</v>
      </c>
      <c r="G7">
        <v>62</v>
      </c>
      <c r="H7">
        <v>86</v>
      </c>
      <c r="I7">
        <v>75</v>
      </c>
      <c r="J7">
        <v>61</v>
      </c>
      <c r="K7">
        <v>78</v>
      </c>
      <c r="L7" s="19">
        <f t="shared" ref="L7:L18" si="1">AVERAGE(C7:K7)</f>
        <v>79.444444444444443</v>
      </c>
      <c r="M7">
        <v>9</v>
      </c>
      <c r="N7" s="19">
        <f t="shared" ref="N7:N18" si="2">L7-M7</f>
        <v>70.444444444444443</v>
      </c>
      <c r="O7" s="19">
        <f t="shared" ref="O7:O18" si="3">M7*29.3</f>
        <v>263.7</v>
      </c>
      <c r="P7" s="19">
        <f t="shared" ref="P7:P18" si="4">N7*29.3</f>
        <v>2064.0222222222224</v>
      </c>
      <c r="Q7" s="30">
        <v>0.95</v>
      </c>
      <c r="R7" s="30">
        <v>0.95</v>
      </c>
      <c r="S7" s="3">
        <v>2.6</v>
      </c>
      <c r="T7" s="19">
        <f>O7*Q7/S7</f>
        <v>96.351923076923072</v>
      </c>
      <c r="U7" s="19">
        <f>P7*R7/S7</f>
        <v>754.16196581196584</v>
      </c>
      <c r="V7" s="19">
        <f t="shared" ref="V7:V18" si="5">T7+U7</f>
        <v>850.51388888888891</v>
      </c>
      <c r="W7" s="4">
        <v>0.25</v>
      </c>
      <c r="X7" s="2">
        <f t="shared" ref="X7:X18" si="6">W7*V7</f>
        <v>212.62847222222223</v>
      </c>
      <c r="Y7" s="8">
        <v>2</v>
      </c>
      <c r="Z7" s="2">
        <f t="shared" ref="Z7:Z18" si="7">Y7*L7</f>
        <v>158.88888888888889</v>
      </c>
      <c r="AB7" s="19">
        <v>658.68</v>
      </c>
      <c r="AC7" s="19"/>
      <c r="AD7" s="19"/>
      <c r="AE7" s="19">
        <f t="shared" ref="AE7:AE18" si="8">AB7+V7</f>
        <v>1509.193888888889</v>
      </c>
      <c r="AF7" s="19">
        <f>U7/B7</f>
        <v>24.32780534877309</v>
      </c>
      <c r="AG7" s="19">
        <f>T7/B7</f>
        <v>3.1081265508684863</v>
      </c>
      <c r="AH7" s="19">
        <f>AB7/B7</f>
        <v>21.247741935483869</v>
      </c>
      <c r="AI7" s="24">
        <f>AE7/B7</f>
        <v>48.683673835125454</v>
      </c>
      <c r="AJ7" s="28">
        <v>0.95</v>
      </c>
      <c r="AK7" s="12">
        <v>0.96499999999999997</v>
      </c>
      <c r="AL7" s="12">
        <v>9</v>
      </c>
      <c r="AM7" s="12">
        <f>48*185/1000</f>
        <v>8.8800000000000008</v>
      </c>
      <c r="AN7" s="12">
        <v>0.18</v>
      </c>
      <c r="AO7" s="12">
        <v>0.9</v>
      </c>
      <c r="AP7" s="11">
        <f t="shared" ref="AP7:AP18" si="9">AN7*AO7</f>
        <v>0.16200000000000001</v>
      </c>
      <c r="AQ7" s="32">
        <f>'scenario chart'!U11</f>
        <v>12</v>
      </c>
      <c r="AR7" s="3">
        <v>0.4</v>
      </c>
      <c r="AS7" s="3">
        <f>162/180</f>
        <v>0.9</v>
      </c>
      <c r="AT7" s="11">
        <f t="shared" ref="AT7:AT18" si="10">AR7*AS7</f>
        <v>0.36000000000000004</v>
      </c>
      <c r="AU7" s="32">
        <f>'scenario chart'!U12</f>
        <v>25</v>
      </c>
      <c r="AV7" s="17">
        <f>(AT7*AU7+AP7*AQ7)*AK7</f>
        <v>10.560960000000001</v>
      </c>
      <c r="AW7" s="15">
        <f>AV7/1.8</f>
        <v>5.8672000000000004</v>
      </c>
      <c r="AX7" s="19">
        <v>58.9</v>
      </c>
      <c r="AY7" s="19">
        <f>AX7/B7</f>
        <v>1.9</v>
      </c>
      <c r="AZ7" s="19">
        <f>AV7*AX7</f>
        <v>622.04054400000007</v>
      </c>
      <c r="BA7" s="19">
        <f>AZ7/B7</f>
        <v>20.065824000000003</v>
      </c>
      <c r="BB7" s="9">
        <f>BA7/AI7</f>
        <v>0.41216741505490972</v>
      </c>
      <c r="BC7" s="36">
        <f>'scenario chart'!U13</f>
        <v>5</v>
      </c>
      <c r="BD7" s="36">
        <f>'scenario chart'!U14</f>
        <v>0</v>
      </c>
      <c r="BE7" s="17">
        <f>BD7*3.6+BC7*4.8</f>
        <v>24</v>
      </c>
      <c r="BF7" s="17">
        <f>BE7*1000/48</f>
        <v>500</v>
      </c>
      <c r="BG7" s="18">
        <v>0.5</v>
      </c>
      <c r="BH7" s="17">
        <f>BF7*BG7</f>
        <v>250</v>
      </c>
      <c r="BI7" s="17">
        <f>BH7*48/1000</f>
        <v>12</v>
      </c>
      <c r="BJ7" s="15">
        <f>BI7/AL7-1</f>
        <v>0.33333333333333326</v>
      </c>
      <c r="BK7" s="18">
        <v>0.5</v>
      </c>
      <c r="BL7" s="16">
        <f>BF7*BK7</f>
        <v>250</v>
      </c>
      <c r="BM7" s="17">
        <f>BL7*48/1000</f>
        <v>12</v>
      </c>
      <c r="BN7" s="15">
        <f>BM7/AM7-1</f>
        <v>0.35135135135135132</v>
      </c>
      <c r="BO7" s="10">
        <v>0.8</v>
      </c>
      <c r="BP7" s="10">
        <v>0.2</v>
      </c>
      <c r="BQ7" s="17">
        <f>BE7*BO7*(1-BP7)</f>
        <v>15.360000000000003</v>
      </c>
      <c r="BR7" s="16">
        <f>IF(BQ7&gt;AI7,1,0)</f>
        <v>0</v>
      </c>
      <c r="BS7" s="17">
        <f t="shared" ref="BS7:BS12" si="11">IF(BR7=1,AI7,BQ7)</f>
        <v>15.360000000000003</v>
      </c>
      <c r="BT7" s="12">
        <v>0.95</v>
      </c>
      <c r="BU7" s="17">
        <f>BS7/BT7</f>
        <v>16.168421052631583</v>
      </c>
      <c r="BV7" s="16">
        <f t="shared" ref="BV7:BV18" si="12">IF(BA7&gt;BU7,1,0)</f>
        <v>1</v>
      </c>
      <c r="BW7" s="24">
        <f t="shared" ref="BW7:BW18" si="13">IF(BV7=1,BS7,BA7*BT7)</f>
        <v>15.360000000000003</v>
      </c>
      <c r="BX7" s="17">
        <f>BW7/BT7</f>
        <v>16.168421052631583</v>
      </c>
      <c r="BY7" s="21">
        <f t="shared" ref="BY7:BY18" si="14">IF(BV7=1,BA7-BX7,0)</f>
        <v>3.8974029473684197</v>
      </c>
      <c r="BZ7" s="24">
        <f>IF(AI7&gt;BW7,AI7-BW7,0)</f>
        <v>33.323673835125447</v>
      </c>
      <c r="CA7" s="29">
        <f>BW7*B7</f>
        <v>476.16000000000008</v>
      </c>
      <c r="CB7" s="17">
        <f t="shared" ref="CB7:CB18" si="15">BZ7*B7</f>
        <v>1033.0338888888889</v>
      </c>
      <c r="CC7" s="17">
        <f>BY7*B7</f>
        <v>120.81949136842101</v>
      </c>
      <c r="CE7" s="52">
        <v>12000</v>
      </c>
      <c r="CF7" s="8">
        <v>2450</v>
      </c>
      <c r="CG7" s="7">
        <f>CF7*BD7</f>
        <v>0</v>
      </c>
      <c r="CH7" s="37">
        <f>10950/25</f>
        <v>438</v>
      </c>
      <c r="CI7" s="13">
        <f>CH7*AU7</f>
        <v>10950</v>
      </c>
      <c r="CJ7" s="37">
        <v>10064</v>
      </c>
      <c r="CK7" s="38">
        <f>SUM(CE7,CG7,CI7,CJ7)</f>
        <v>33014</v>
      </c>
      <c r="CL7" s="11">
        <v>10</v>
      </c>
      <c r="CM7" s="11">
        <v>10</v>
      </c>
      <c r="CN7" s="11">
        <v>25</v>
      </c>
      <c r="CO7" s="11">
        <v>5</v>
      </c>
      <c r="CP7" s="38">
        <f>CE7/CL7</f>
        <v>1200</v>
      </c>
      <c r="CQ7" s="38">
        <f>CG7/CM7</f>
        <v>0</v>
      </c>
      <c r="CR7" s="39">
        <f>CI7/CN7</f>
        <v>438</v>
      </c>
      <c r="CS7" s="40">
        <f>CJ7/CO7</f>
        <v>2012.8</v>
      </c>
      <c r="CT7" s="38">
        <f>SUM(CP7:CS7)</f>
        <v>3650.8</v>
      </c>
      <c r="CU7" s="38">
        <f>IF(CC22&gt;0, -AD20, -AD20*(1+CC22))</f>
        <v>-2363.0006944444444</v>
      </c>
      <c r="CV7" s="41">
        <f>CT7+CU7</f>
        <v>1287.7993055555557</v>
      </c>
      <c r="CW7" s="41">
        <f>CV7/365</f>
        <v>3.5282172754946735</v>
      </c>
      <c r="CX7" s="19">
        <f>CW7/4</f>
        <v>0.88205431887366836</v>
      </c>
    </row>
    <row r="8" spans="1:102" x14ac:dyDescent="0.25">
      <c r="A8" t="s">
        <v>16</v>
      </c>
      <c r="B8">
        <v>28.25</v>
      </c>
      <c r="C8">
        <v>79</v>
      </c>
      <c r="D8">
        <v>105</v>
      </c>
      <c r="E8">
        <v>69</v>
      </c>
      <c r="F8">
        <v>46</v>
      </c>
      <c r="G8">
        <v>38</v>
      </c>
      <c r="H8">
        <v>71</v>
      </c>
      <c r="I8">
        <v>74</v>
      </c>
      <c r="J8">
        <v>86</v>
      </c>
      <c r="K8">
        <v>43</v>
      </c>
      <c r="L8" s="19">
        <f t="shared" si="1"/>
        <v>67.888888888888886</v>
      </c>
      <c r="M8">
        <v>9</v>
      </c>
      <c r="N8" s="19">
        <f t="shared" si="2"/>
        <v>58.888888888888886</v>
      </c>
      <c r="O8" s="19">
        <f t="shared" si="3"/>
        <v>263.7</v>
      </c>
      <c r="P8" s="19">
        <f t="shared" si="4"/>
        <v>1725.4444444444443</v>
      </c>
      <c r="Q8" s="31">
        <f>Q7</f>
        <v>0.95</v>
      </c>
      <c r="R8" s="31">
        <f t="shared" ref="R8:R18" si="16">R7</f>
        <v>0.95</v>
      </c>
      <c r="S8">
        <f t="shared" ref="S8:S18" si="17">S7</f>
        <v>2.6</v>
      </c>
      <c r="T8" s="19">
        <f t="shared" ref="T8:T18" si="18">O8*Q8/S8</f>
        <v>96.351923076923072</v>
      </c>
      <c r="U8" s="19">
        <f t="shared" ref="U8:U18" si="19">P8*R8/S8</f>
        <v>630.45085470085462</v>
      </c>
      <c r="V8" s="19">
        <f t="shared" si="5"/>
        <v>726.80277777777769</v>
      </c>
      <c r="W8" s="2">
        <f t="shared" ref="W8:W18" si="20">W7</f>
        <v>0.25</v>
      </c>
      <c r="X8" s="2">
        <f t="shared" si="6"/>
        <v>181.70069444444442</v>
      </c>
      <c r="Y8" s="7">
        <f t="shared" ref="Y8:Y18" si="21">Y7</f>
        <v>2</v>
      </c>
      <c r="Z8" s="2">
        <f t="shared" si="7"/>
        <v>135.77777777777777</v>
      </c>
      <c r="AB8" s="19">
        <v>494.20333333333338</v>
      </c>
      <c r="AC8" s="19"/>
      <c r="AD8" s="19"/>
      <c r="AE8" s="19">
        <f t="shared" si="8"/>
        <v>1221.0061111111111</v>
      </c>
      <c r="AF8" s="19">
        <f t="shared" ref="AF8:AF18" si="22">U8/B8</f>
        <v>22.316844414189543</v>
      </c>
      <c r="AG8" s="19">
        <f t="shared" ref="AG8:AG18" si="23">T8/B8</f>
        <v>3.4106875425459493</v>
      </c>
      <c r="AH8" s="19">
        <f t="shared" ref="AH8:AH18" si="24">AB8/B8</f>
        <v>17.493923303834809</v>
      </c>
      <c r="AI8" s="25">
        <f t="shared" ref="AI8:AI18" si="25">AE8/B8</f>
        <v>43.221455260570302</v>
      </c>
      <c r="AJ8">
        <f t="shared" ref="AJ8:AJ18" si="26">AJ7</f>
        <v>0.95</v>
      </c>
      <c r="AK8">
        <f t="shared" ref="AK8:AK18" si="27">AK7</f>
        <v>0.96499999999999997</v>
      </c>
      <c r="AN8">
        <f t="shared" ref="AN8:AQ18" si="28">AN7</f>
        <v>0.18</v>
      </c>
      <c r="AO8">
        <f t="shared" si="28"/>
        <v>0.9</v>
      </c>
      <c r="AP8" s="11">
        <f t="shared" si="9"/>
        <v>0.16200000000000001</v>
      </c>
      <c r="AQ8">
        <f t="shared" si="28"/>
        <v>12</v>
      </c>
      <c r="AR8">
        <f t="shared" ref="AR8:AR18" si="29">AR7</f>
        <v>0.4</v>
      </c>
      <c r="AS8">
        <f t="shared" ref="AS8:AS18" si="30">AS7</f>
        <v>0.9</v>
      </c>
      <c r="AT8" s="11">
        <f t="shared" si="10"/>
        <v>0.36000000000000004</v>
      </c>
      <c r="AU8" s="11">
        <f t="shared" ref="AU8:AU18" si="31">AU7</f>
        <v>25</v>
      </c>
      <c r="AV8" s="17">
        <f t="shared" ref="AV8:AV18" si="32">(AT8*AU8+AP8*AQ8)*AK8</f>
        <v>10.560960000000001</v>
      </c>
      <c r="AW8" s="15">
        <f t="shared" ref="AW8:AW18" si="33">AV8/1.8</f>
        <v>5.8672000000000004</v>
      </c>
      <c r="AX8" s="19">
        <v>69.099999999999994</v>
      </c>
      <c r="AY8" s="19">
        <f t="shared" ref="AY8:AY18" si="34">AX8/B8</f>
        <v>2.446017699115044</v>
      </c>
      <c r="AZ8" s="19">
        <f t="shared" ref="AZ8:AZ18" si="35">AV8*AX8</f>
        <v>729.762336</v>
      </c>
      <c r="BA8" s="19">
        <f t="shared" ref="BA8:BA18" si="36">AZ8/B8</f>
        <v>25.832295079646016</v>
      </c>
      <c r="BB8" s="9">
        <f t="shared" ref="BB8:BB18" si="37">BA8/AI8</f>
        <v>0.59767295950379717</v>
      </c>
      <c r="BC8" s="16">
        <f t="shared" ref="BC8:BC18" si="38">BC7</f>
        <v>5</v>
      </c>
      <c r="BD8" s="16">
        <f>BD7</f>
        <v>0</v>
      </c>
      <c r="BE8" s="17">
        <f>BE7</f>
        <v>24</v>
      </c>
      <c r="BF8" s="17"/>
      <c r="BG8" s="17"/>
      <c r="BH8" s="17"/>
      <c r="BI8" s="17"/>
      <c r="BJ8" s="17"/>
      <c r="BK8" s="17"/>
      <c r="BL8" s="17"/>
      <c r="BM8" s="17"/>
      <c r="BN8" s="17"/>
      <c r="BO8" s="9">
        <f>BO7</f>
        <v>0.8</v>
      </c>
      <c r="BP8" s="9">
        <f>BP7</f>
        <v>0.2</v>
      </c>
      <c r="BQ8" s="17">
        <f t="shared" ref="BQ8:BQ18" si="39">BE8*BO8*(1-BP8)</f>
        <v>15.360000000000003</v>
      </c>
      <c r="BR8" s="16">
        <f t="shared" ref="BR8:BR18" si="40">IF(BQ8&gt;AI8,1,0)</f>
        <v>0</v>
      </c>
      <c r="BS8" s="17">
        <f t="shared" si="11"/>
        <v>15.360000000000003</v>
      </c>
      <c r="BT8">
        <f t="shared" ref="BT8:BT18" si="41">BT7</f>
        <v>0.95</v>
      </c>
      <c r="BU8" s="17">
        <f t="shared" ref="BU8:BU18" si="42">BS8/BT8</f>
        <v>16.168421052631583</v>
      </c>
      <c r="BV8" s="16">
        <f t="shared" si="12"/>
        <v>1</v>
      </c>
      <c r="BW8" s="25">
        <f t="shared" si="13"/>
        <v>15.360000000000003</v>
      </c>
      <c r="BX8" s="17">
        <f t="shared" ref="BX8:BX18" si="43">BW8/BT8</f>
        <v>16.168421052631583</v>
      </c>
      <c r="BY8" s="22">
        <f t="shared" si="14"/>
        <v>9.6638740270144332</v>
      </c>
      <c r="BZ8" s="25">
        <f t="shared" ref="BZ8:BZ18" si="44">IF(AI8&gt;BW8,AI8-BW8,0)</f>
        <v>27.861455260570299</v>
      </c>
      <c r="CA8" s="29">
        <f t="shared" ref="CA8:CA18" si="45">BW8*B8</f>
        <v>433.92000000000007</v>
      </c>
      <c r="CB8" s="17">
        <f t="shared" si="15"/>
        <v>787.08611111111099</v>
      </c>
      <c r="CC8" s="17">
        <f t="shared" ref="CC8:CC18" si="46">BY8*B8</f>
        <v>273.00444126315773</v>
      </c>
    </row>
    <row r="9" spans="1:102" x14ac:dyDescent="0.25">
      <c r="A9" t="s">
        <v>17</v>
      </c>
      <c r="B9">
        <v>31</v>
      </c>
      <c r="C9">
        <v>63</v>
      </c>
      <c r="D9">
        <v>50</v>
      </c>
      <c r="E9">
        <v>34</v>
      </c>
      <c r="F9">
        <v>21</v>
      </c>
      <c r="G9">
        <v>37</v>
      </c>
      <c r="H9">
        <v>41</v>
      </c>
      <c r="I9">
        <v>64</v>
      </c>
      <c r="J9">
        <v>48</v>
      </c>
      <c r="K9">
        <v>57</v>
      </c>
      <c r="L9" s="19">
        <f t="shared" si="1"/>
        <v>46.111111111111114</v>
      </c>
      <c r="M9">
        <v>9</v>
      </c>
      <c r="N9" s="19">
        <f t="shared" si="2"/>
        <v>37.111111111111114</v>
      </c>
      <c r="O9" s="19">
        <f t="shared" si="3"/>
        <v>263.7</v>
      </c>
      <c r="P9" s="19">
        <f t="shared" si="4"/>
        <v>1087.3555555555556</v>
      </c>
      <c r="Q9" s="31">
        <f t="shared" ref="Q9:Q18" si="47">Q8</f>
        <v>0.95</v>
      </c>
      <c r="R9" s="31">
        <f t="shared" si="16"/>
        <v>0.95</v>
      </c>
      <c r="S9">
        <f t="shared" si="17"/>
        <v>2.6</v>
      </c>
      <c r="T9" s="19">
        <f t="shared" si="18"/>
        <v>96.351923076923072</v>
      </c>
      <c r="U9" s="19">
        <f t="shared" si="19"/>
        <v>397.30299145299148</v>
      </c>
      <c r="V9" s="19">
        <f t="shared" si="5"/>
        <v>493.65491452991455</v>
      </c>
      <c r="W9" s="2">
        <f t="shared" si="20"/>
        <v>0.25</v>
      </c>
      <c r="X9" s="2">
        <f t="shared" si="6"/>
        <v>123.41372863247864</v>
      </c>
      <c r="Y9" s="7">
        <f t="shared" si="21"/>
        <v>2</v>
      </c>
      <c r="Z9" s="2">
        <f t="shared" si="7"/>
        <v>92.222222222222229</v>
      </c>
      <c r="AB9" s="19">
        <v>515.04000000000008</v>
      </c>
      <c r="AC9" s="19"/>
      <c r="AD9" s="19"/>
      <c r="AE9" s="19">
        <f t="shared" si="8"/>
        <v>1008.6949145299146</v>
      </c>
      <c r="AF9" s="19">
        <f t="shared" si="22"/>
        <v>12.81622553074166</v>
      </c>
      <c r="AG9" s="19">
        <f t="shared" si="23"/>
        <v>3.1081265508684863</v>
      </c>
      <c r="AH9" s="19">
        <f t="shared" si="24"/>
        <v>16.614193548387099</v>
      </c>
      <c r="AI9" s="25">
        <f t="shared" si="25"/>
        <v>32.538545629997245</v>
      </c>
      <c r="AJ9">
        <f t="shared" si="26"/>
        <v>0.95</v>
      </c>
      <c r="AK9">
        <f t="shared" si="27"/>
        <v>0.96499999999999997</v>
      </c>
      <c r="AN9">
        <f t="shared" si="28"/>
        <v>0.18</v>
      </c>
      <c r="AO9">
        <f t="shared" si="28"/>
        <v>0.9</v>
      </c>
      <c r="AP9" s="11">
        <f t="shared" si="9"/>
        <v>0.16200000000000001</v>
      </c>
      <c r="AQ9">
        <f t="shared" si="28"/>
        <v>12</v>
      </c>
      <c r="AR9">
        <f t="shared" si="29"/>
        <v>0.4</v>
      </c>
      <c r="AS9">
        <f t="shared" si="30"/>
        <v>0.9</v>
      </c>
      <c r="AT9" s="11">
        <f t="shared" si="10"/>
        <v>0.36000000000000004</v>
      </c>
      <c r="AU9" s="11">
        <f t="shared" si="31"/>
        <v>25</v>
      </c>
      <c r="AV9" s="17">
        <f t="shared" si="32"/>
        <v>10.560960000000001</v>
      </c>
      <c r="AW9" s="15">
        <f t="shared" si="33"/>
        <v>5.8672000000000004</v>
      </c>
      <c r="AX9" s="19">
        <v>103.2</v>
      </c>
      <c r="AY9" s="19">
        <f t="shared" si="34"/>
        <v>3.3290322580645162</v>
      </c>
      <c r="AZ9" s="19">
        <f t="shared" si="35"/>
        <v>1089.8910720000001</v>
      </c>
      <c r="BA9" s="19">
        <f t="shared" si="36"/>
        <v>35.157776516129033</v>
      </c>
      <c r="BB9" s="9">
        <f t="shared" si="37"/>
        <v>1.0804962494610431</v>
      </c>
      <c r="BC9" s="16">
        <f t="shared" si="38"/>
        <v>5</v>
      </c>
      <c r="BD9" s="16">
        <f t="shared" ref="BD9:BD18" si="48">BD8</f>
        <v>0</v>
      </c>
      <c r="BE9" s="17">
        <f t="shared" ref="BE9:BE18" si="49">BE8</f>
        <v>24</v>
      </c>
      <c r="BF9" s="17"/>
      <c r="BG9" s="17"/>
      <c r="BH9" s="17"/>
      <c r="BI9" s="17"/>
      <c r="BJ9" s="17"/>
      <c r="BK9" s="17"/>
      <c r="BL9" s="17"/>
      <c r="BM9" s="17"/>
      <c r="BN9" s="17"/>
      <c r="BO9" s="9">
        <f t="shared" ref="BO9:BO18" si="50">BO8</f>
        <v>0.8</v>
      </c>
      <c r="BP9" s="9">
        <f t="shared" ref="BP9:BP18" si="51">BP8</f>
        <v>0.2</v>
      </c>
      <c r="BQ9" s="17">
        <f t="shared" si="39"/>
        <v>15.360000000000003</v>
      </c>
      <c r="BR9" s="16">
        <f t="shared" si="40"/>
        <v>0</v>
      </c>
      <c r="BS9" s="17">
        <f t="shared" si="11"/>
        <v>15.360000000000003</v>
      </c>
      <c r="BT9">
        <f t="shared" si="41"/>
        <v>0.95</v>
      </c>
      <c r="BU9" s="17">
        <f t="shared" si="42"/>
        <v>16.168421052631583</v>
      </c>
      <c r="BV9" s="16">
        <f t="shared" si="12"/>
        <v>1</v>
      </c>
      <c r="BW9" s="25">
        <f t="shared" si="13"/>
        <v>15.360000000000003</v>
      </c>
      <c r="BX9" s="17">
        <f t="shared" si="43"/>
        <v>16.168421052631583</v>
      </c>
      <c r="BY9" s="22">
        <f t="shared" si="14"/>
        <v>18.98935546349745</v>
      </c>
      <c r="BZ9" s="25">
        <f t="shared" si="44"/>
        <v>17.178545629997242</v>
      </c>
      <c r="CA9" s="29">
        <f t="shared" si="45"/>
        <v>476.16000000000008</v>
      </c>
      <c r="CB9" s="17">
        <f t="shared" si="15"/>
        <v>532.53491452991454</v>
      </c>
      <c r="CC9" s="17">
        <f t="shared" si="46"/>
        <v>588.67001936842098</v>
      </c>
    </row>
    <row r="10" spans="1:102" x14ac:dyDescent="0.25">
      <c r="A10" t="s">
        <v>18</v>
      </c>
      <c r="B10">
        <v>30</v>
      </c>
      <c r="C10">
        <v>40</v>
      </c>
      <c r="D10">
        <v>29</v>
      </c>
      <c r="E10">
        <v>22</v>
      </c>
      <c r="F10">
        <v>20</v>
      </c>
      <c r="G10">
        <v>18</v>
      </c>
      <c r="H10">
        <v>30</v>
      </c>
      <c r="I10">
        <v>32</v>
      </c>
      <c r="J10">
        <v>17</v>
      </c>
      <c r="K10">
        <v>25</v>
      </c>
      <c r="L10" s="19">
        <f t="shared" si="1"/>
        <v>25.888888888888889</v>
      </c>
      <c r="M10">
        <v>9</v>
      </c>
      <c r="N10" s="19">
        <f t="shared" si="2"/>
        <v>16.888888888888889</v>
      </c>
      <c r="O10" s="19">
        <f t="shared" si="3"/>
        <v>263.7</v>
      </c>
      <c r="P10" s="19">
        <f t="shared" si="4"/>
        <v>494.84444444444449</v>
      </c>
      <c r="Q10" s="31">
        <f t="shared" si="47"/>
        <v>0.95</v>
      </c>
      <c r="R10" s="31">
        <f t="shared" si="16"/>
        <v>0.95</v>
      </c>
      <c r="S10">
        <f t="shared" si="17"/>
        <v>2.6</v>
      </c>
      <c r="T10" s="19">
        <f t="shared" si="18"/>
        <v>96.351923076923072</v>
      </c>
      <c r="U10" s="19">
        <f t="shared" si="19"/>
        <v>180.80854700854701</v>
      </c>
      <c r="V10" s="19">
        <f t="shared" si="5"/>
        <v>277.16047008547008</v>
      </c>
      <c r="W10" s="2">
        <f t="shared" si="20"/>
        <v>0.25</v>
      </c>
      <c r="X10" s="2">
        <f t="shared" si="6"/>
        <v>69.29011752136752</v>
      </c>
      <c r="Y10" s="7">
        <f t="shared" si="21"/>
        <v>2</v>
      </c>
      <c r="Z10" s="2">
        <f t="shared" si="7"/>
        <v>51.777777777777779</v>
      </c>
      <c r="AB10" s="19">
        <v>468.73333333333335</v>
      </c>
      <c r="AC10" s="19"/>
      <c r="AD10" s="19"/>
      <c r="AE10" s="19">
        <f t="shared" si="8"/>
        <v>745.89380341880337</v>
      </c>
      <c r="AF10" s="19">
        <f t="shared" si="22"/>
        <v>6.026951566951567</v>
      </c>
      <c r="AG10" s="19">
        <f t="shared" si="23"/>
        <v>3.2117307692307691</v>
      </c>
      <c r="AH10" s="19">
        <f t="shared" si="24"/>
        <v>15.624444444444444</v>
      </c>
      <c r="AI10" s="25">
        <f t="shared" si="25"/>
        <v>24.863126780626779</v>
      </c>
      <c r="AJ10">
        <f t="shared" si="26"/>
        <v>0.95</v>
      </c>
      <c r="AK10">
        <f t="shared" si="27"/>
        <v>0.96499999999999997</v>
      </c>
      <c r="AN10">
        <f t="shared" si="28"/>
        <v>0.18</v>
      </c>
      <c r="AO10">
        <f t="shared" si="28"/>
        <v>0.9</v>
      </c>
      <c r="AP10" s="11">
        <f t="shared" si="9"/>
        <v>0.16200000000000001</v>
      </c>
      <c r="AQ10">
        <f t="shared" si="28"/>
        <v>12</v>
      </c>
      <c r="AR10">
        <f t="shared" si="29"/>
        <v>0.4</v>
      </c>
      <c r="AS10">
        <f t="shared" si="30"/>
        <v>0.9</v>
      </c>
      <c r="AT10" s="11">
        <f t="shared" si="10"/>
        <v>0.36000000000000004</v>
      </c>
      <c r="AU10" s="11">
        <f t="shared" si="31"/>
        <v>25</v>
      </c>
      <c r="AV10" s="17">
        <f t="shared" si="32"/>
        <v>10.560960000000001</v>
      </c>
      <c r="AW10" s="15">
        <f t="shared" si="33"/>
        <v>5.8672000000000004</v>
      </c>
      <c r="AX10" s="19">
        <v>178.7</v>
      </c>
      <c r="AY10" s="19">
        <f t="shared" si="34"/>
        <v>5.9566666666666661</v>
      </c>
      <c r="AZ10" s="19">
        <f t="shared" si="35"/>
        <v>1887.2435520000001</v>
      </c>
      <c r="BA10" s="19">
        <f t="shared" si="36"/>
        <v>62.908118400000006</v>
      </c>
      <c r="BB10" s="9">
        <f t="shared" si="37"/>
        <v>2.530177276376103</v>
      </c>
      <c r="BC10" s="16">
        <f t="shared" si="38"/>
        <v>5</v>
      </c>
      <c r="BD10" s="16">
        <f t="shared" si="48"/>
        <v>0</v>
      </c>
      <c r="BE10" s="17">
        <f t="shared" si="49"/>
        <v>24</v>
      </c>
      <c r="BF10" s="17"/>
      <c r="BG10" s="17"/>
      <c r="BH10" s="17"/>
      <c r="BI10" s="17"/>
      <c r="BJ10" s="17"/>
      <c r="BK10" s="17"/>
      <c r="BL10" s="17"/>
      <c r="BM10" s="17"/>
      <c r="BN10" s="17"/>
      <c r="BO10" s="9">
        <f t="shared" si="50"/>
        <v>0.8</v>
      </c>
      <c r="BP10" s="9">
        <f t="shared" si="51"/>
        <v>0.2</v>
      </c>
      <c r="BQ10" s="17">
        <f t="shared" si="39"/>
        <v>15.360000000000003</v>
      </c>
      <c r="BR10" s="16">
        <f t="shared" si="40"/>
        <v>0</v>
      </c>
      <c r="BS10" s="17">
        <f t="shared" si="11"/>
        <v>15.360000000000003</v>
      </c>
      <c r="BT10">
        <f t="shared" si="41"/>
        <v>0.95</v>
      </c>
      <c r="BU10" s="17">
        <f t="shared" si="42"/>
        <v>16.168421052631583</v>
      </c>
      <c r="BV10" s="16">
        <f t="shared" si="12"/>
        <v>1</v>
      </c>
      <c r="BW10" s="25">
        <f t="shared" si="13"/>
        <v>15.360000000000003</v>
      </c>
      <c r="BX10" s="17">
        <f t="shared" si="43"/>
        <v>16.168421052631583</v>
      </c>
      <c r="BY10" s="22">
        <f t="shared" si="14"/>
        <v>46.73969734736842</v>
      </c>
      <c r="BZ10" s="25">
        <f t="shared" si="44"/>
        <v>9.5031267806267756</v>
      </c>
      <c r="CA10" s="29">
        <f t="shared" si="45"/>
        <v>460.80000000000007</v>
      </c>
      <c r="CB10" s="17">
        <f t="shared" si="15"/>
        <v>285.09380341880325</v>
      </c>
      <c r="CC10" s="17">
        <f t="shared" si="46"/>
        <v>1402.1909204210526</v>
      </c>
    </row>
    <row r="11" spans="1:102" x14ac:dyDescent="0.25">
      <c r="A11" t="s">
        <v>19</v>
      </c>
      <c r="B11">
        <v>31</v>
      </c>
      <c r="C11">
        <v>10</v>
      </c>
      <c r="D11">
        <v>12</v>
      </c>
      <c r="E11">
        <v>13</v>
      </c>
      <c r="F11">
        <v>12</v>
      </c>
      <c r="G11">
        <v>11</v>
      </c>
      <c r="H11">
        <v>14</v>
      </c>
      <c r="I11">
        <v>12</v>
      </c>
      <c r="J11">
        <v>23</v>
      </c>
      <c r="K11">
        <v>13</v>
      </c>
      <c r="L11" s="19">
        <f t="shared" si="1"/>
        <v>13.333333333333334</v>
      </c>
      <c r="M11">
        <v>9</v>
      </c>
      <c r="N11" s="19">
        <f t="shared" si="2"/>
        <v>4.3333333333333339</v>
      </c>
      <c r="O11" s="19">
        <f t="shared" si="3"/>
        <v>263.7</v>
      </c>
      <c r="P11" s="19">
        <f t="shared" si="4"/>
        <v>126.96666666666668</v>
      </c>
      <c r="Q11" s="31">
        <f t="shared" si="47"/>
        <v>0.95</v>
      </c>
      <c r="R11" s="31">
        <f t="shared" si="16"/>
        <v>0.95</v>
      </c>
      <c r="S11">
        <f t="shared" si="17"/>
        <v>2.6</v>
      </c>
      <c r="T11" s="19">
        <f t="shared" si="18"/>
        <v>96.351923076923072</v>
      </c>
      <c r="U11" s="19">
        <f t="shared" si="19"/>
        <v>46.391666666666666</v>
      </c>
      <c r="V11" s="19">
        <f t="shared" si="5"/>
        <v>142.74358974358972</v>
      </c>
      <c r="W11" s="2">
        <f t="shared" si="20"/>
        <v>0.25</v>
      </c>
      <c r="X11" s="2">
        <f t="shared" si="6"/>
        <v>35.685897435897431</v>
      </c>
      <c r="Y11" s="7">
        <f t="shared" si="21"/>
        <v>2</v>
      </c>
      <c r="Z11" s="2">
        <f t="shared" si="7"/>
        <v>26.666666666666668</v>
      </c>
      <c r="AB11" s="19">
        <v>461.16</v>
      </c>
      <c r="AC11" s="19"/>
      <c r="AD11" s="19"/>
      <c r="AE11" s="19">
        <f t="shared" si="8"/>
        <v>603.90358974358969</v>
      </c>
      <c r="AF11" s="19">
        <f t="shared" si="22"/>
        <v>1.4965053763440861</v>
      </c>
      <c r="AG11" s="19">
        <f t="shared" si="23"/>
        <v>3.1081265508684863</v>
      </c>
      <c r="AH11" s="19">
        <f t="shared" si="24"/>
        <v>14.876129032258065</v>
      </c>
      <c r="AI11" s="25">
        <f t="shared" si="25"/>
        <v>19.480760959470636</v>
      </c>
      <c r="AJ11">
        <f t="shared" si="26"/>
        <v>0.95</v>
      </c>
      <c r="AK11">
        <f t="shared" si="27"/>
        <v>0.96499999999999997</v>
      </c>
      <c r="AN11">
        <f t="shared" si="28"/>
        <v>0.18</v>
      </c>
      <c r="AO11">
        <f t="shared" si="28"/>
        <v>0.9</v>
      </c>
      <c r="AP11" s="11">
        <f t="shared" si="9"/>
        <v>0.16200000000000001</v>
      </c>
      <c r="AQ11">
        <f t="shared" si="28"/>
        <v>12</v>
      </c>
      <c r="AR11">
        <f t="shared" si="29"/>
        <v>0.4</v>
      </c>
      <c r="AS11">
        <f t="shared" si="30"/>
        <v>0.9</v>
      </c>
      <c r="AT11" s="11">
        <f t="shared" si="10"/>
        <v>0.36000000000000004</v>
      </c>
      <c r="AU11" s="11">
        <f t="shared" si="31"/>
        <v>25</v>
      </c>
      <c r="AV11" s="17">
        <f t="shared" si="32"/>
        <v>10.560960000000001</v>
      </c>
      <c r="AW11" s="15">
        <f t="shared" si="33"/>
        <v>5.8672000000000004</v>
      </c>
      <c r="AX11" s="19">
        <v>227.4</v>
      </c>
      <c r="AY11" s="19">
        <f t="shared" si="34"/>
        <v>7.3354838709677423</v>
      </c>
      <c r="AZ11" s="19">
        <f t="shared" si="35"/>
        <v>2401.5623040000005</v>
      </c>
      <c r="BA11" s="19">
        <f t="shared" si="36"/>
        <v>77.469751741935497</v>
      </c>
      <c r="BB11" s="9">
        <f t="shared" si="37"/>
        <v>3.9767312941783888</v>
      </c>
      <c r="BC11" s="16">
        <f t="shared" si="38"/>
        <v>5</v>
      </c>
      <c r="BD11" s="16">
        <f t="shared" si="48"/>
        <v>0</v>
      </c>
      <c r="BE11" s="17">
        <f t="shared" si="49"/>
        <v>24</v>
      </c>
      <c r="BF11" s="17"/>
      <c r="BG11" s="17"/>
      <c r="BH11" s="17"/>
      <c r="BI11" s="17"/>
      <c r="BJ11" s="17"/>
      <c r="BK11" s="17"/>
      <c r="BL11" s="17"/>
      <c r="BM11" s="17"/>
      <c r="BN11" s="17"/>
      <c r="BO11" s="9">
        <f t="shared" si="50"/>
        <v>0.8</v>
      </c>
      <c r="BP11" s="9">
        <f t="shared" si="51"/>
        <v>0.2</v>
      </c>
      <c r="BQ11" s="17">
        <f t="shared" si="39"/>
        <v>15.360000000000003</v>
      </c>
      <c r="BR11" s="16">
        <f t="shared" si="40"/>
        <v>0</v>
      </c>
      <c r="BS11" s="17">
        <f t="shared" si="11"/>
        <v>15.360000000000003</v>
      </c>
      <c r="BT11">
        <f t="shared" si="41"/>
        <v>0.95</v>
      </c>
      <c r="BU11" s="17">
        <f t="shared" si="42"/>
        <v>16.168421052631583</v>
      </c>
      <c r="BV11" s="16">
        <f t="shared" si="12"/>
        <v>1</v>
      </c>
      <c r="BW11" s="25">
        <f t="shared" si="13"/>
        <v>15.360000000000003</v>
      </c>
      <c r="BX11" s="17">
        <f t="shared" si="43"/>
        <v>16.168421052631583</v>
      </c>
      <c r="BY11" s="22">
        <f t="shared" si="14"/>
        <v>61.30133068930391</v>
      </c>
      <c r="BZ11" s="25">
        <f t="shared" si="44"/>
        <v>4.1207609594706334</v>
      </c>
      <c r="CA11" s="29">
        <f t="shared" si="45"/>
        <v>476.16000000000008</v>
      </c>
      <c r="CB11" s="17">
        <f t="shared" si="15"/>
        <v>127.74358974358964</v>
      </c>
      <c r="CC11" s="17">
        <f t="shared" si="46"/>
        <v>1900.3412513684211</v>
      </c>
    </row>
    <row r="12" spans="1:102" x14ac:dyDescent="0.25">
      <c r="A12" t="s">
        <v>20</v>
      </c>
      <c r="B12">
        <v>30</v>
      </c>
      <c r="C12">
        <v>9</v>
      </c>
      <c r="D12">
        <v>8</v>
      </c>
      <c r="E12">
        <v>8</v>
      </c>
      <c r="F12">
        <v>6</v>
      </c>
      <c r="G12">
        <v>7</v>
      </c>
      <c r="H12">
        <v>10</v>
      </c>
      <c r="I12">
        <v>11</v>
      </c>
      <c r="J12">
        <v>7</v>
      </c>
      <c r="K12">
        <v>10</v>
      </c>
      <c r="L12" s="19">
        <f t="shared" si="1"/>
        <v>8.4444444444444446</v>
      </c>
      <c r="M12">
        <v>9</v>
      </c>
      <c r="N12" s="19">
        <f t="shared" si="2"/>
        <v>-0.55555555555555536</v>
      </c>
      <c r="O12" s="19">
        <f t="shared" si="3"/>
        <v>263.7</v>
      </c>
      <c r="P12" s="19">
        <f t="shared" si="4"/>
        <v>-16.277777777777771</v>
      </c>
      <c r="Q12" s="31">
        <f t="shared" si="47"/>
        <v>0.95</v>
      </c>
      <c r="R12" s="31">
        <f t="shared" si="16"/>
        <v>0.95</v>
      </c>
      <c r="S12">
        <f t="shared" si="17"/>
        <v>2.6</v>
      </c>
      <c r="T12" s="19">
        <f t="shared" si="18"/>
        <v>96.351923076923072</v>
      </c>
      <c r="U12" s="19">
        <f t="shared" si="19"/>
        <v>-5.9476495726495697</v>
      </c>
      <c r="V12" s="19">
        <f t="shared" si="5"/>
        <v>90.404273504273505</v>
      </c>
      <c r="W12" s="2">
        <f t="shared" si="20"/>
        <v>0.25</v>
      </c>
      <c r="X12" s="2">
        <f t="shared" si="6"/>
        <v>22.601068376068376</v>
      </c>
      <c r="Y12" s="7">
        <f t="shared" si="21"/>
        <v>2</v>
      </c>
      <c r="Z12" s="2">
        <f t="shared" si="7"/>
        <v>16.888888888888889</v>
      </c>
      <c r="AB12" s="19">
        <v>431.24333333333334</v>
      </c>
      <c r="AC12" s="19"/>
      <c r="AD12" s="19"/>
      <c r="AE12" s="19">
        <f t="shared" si="8"/>
        <v>521.64760683760687</v>
      </c>
      <c r="AF12" s="19">
        <f t="shared" si="22"/>
        <v>-0.19825498575498565</v>
      </c>
      <c r="AG12" s="19">
        <f t="shared" si="23"/>
        <v>3.2117307692307691</v>
      </c>
      <c r="AH12" s="19">
        <f t="shared" si="24"/>
        <v>14.374777777777778</v>
      </c>
      <c r="AI12" s="25">
        <f t="shared" si="25"/>
        <v>17.388253561253563</v>
      </c>
      <c r="AJ12">
        <f t="shared" si="26"/>
        <v>0.95</v>
      </c>
      <c r="AK12">
        <f t="shared" si="27"/>
        <v>0.96499999999999997</v>
      </c>
      <c r="AN12">
        <f t="shared" si="28"/>
        <v>0.18</v>
      </c>
      <c r="AO12">
        <f t="shared" si="28"/>
        <v>0.9</v>
      </c>
      <c r="AP12" s="11">
        <f t="shared" si="9"/>
        <v>0.16200000000000001</v>
      </c>
      <c r="AQ12">
        <f t="shared" si="28"/>
        <v>12</v>
      </c>
      <c r="AR12">
        <f t="shared" si="29"/>
        <v>0.4</v>
      </c>
      <c r="AS12">
        <f t="shared" si="30"/>
        <v>0.9</v>
      </c>
      <c r="AT12" s="11">
        <f t="shared" si="10"/>
        <v>0.36000000000000004</v>
      </c>
      <c r="AU12" s="11">
        <f t="shared" si="31"/>
        <v>25</v>
      </c>
      <c r="AV12" s="17">
        <f t="shared" si="32"/>
        <v>10.560960000000001</v>
      </c>
      <c r="AW12" s="15">
        <f t="shared" si="33"/>
        <v>5.8672000000000004</v>
      </c>
      <c r="AX12" s="19">
        <v>229.6</v>
      </c>
      <c r="AY12" s="19">
        <f t="shared" si="34"/>
        <v>7.6533333333333333</v>
      </c>
      <c r="AZ12" s="19">
        <f t="shared" si="35"/>
        <v>2424.7964160000001</v>
      </c>
      <c r="BA12" s="19">
        <f t="shared" si="36"/>
        <v>80.826547200000007</v>
      </c>
      <c r="BB12" s="9">
        <f t="shared" si="37"/>
        <v>4.6483418771915481</v>
      </c>
      <c r="BC12" s="16">
        <f t="shared" si="38"/>
        <v>5</v>
      </c>
      <c r="BD12" s="16">
        <f t="shared" si="48"/>
        <v>0</v>
      </c>
      <c r="BE12" s="17">
        <f t="shared" si="49"/>
        <v>24</v>
      </c>
      <c r="BF12" s="17"/>
      <c r="BG12" s="17"/>
      <c r="BH12" s="17"/>
      <c r="BI12" s="17"/>
      <c r="BJ12" s="17"/>
      <c r="BK12" s="17"/>
      <c r="BL12" s="17"/>
      <c r="BM12" s="17"/>
      <c r="BN12" s="17"/>
      <c r="BO12" s="9">
        <f t="shared" si="50"/>
        <v>0.8</v>
      </c>
      <c r="BP12" s="9">
        <f t="shared" si="51"/>
        <v>0.2</v>
      </c>
      <c r="BQ12" s="17">
        <f t="shared" si="39"/>
        <v>15.360000000000003</v>
      </c>
      <c r="BR12" s="16">
        <f t="shared" si="40"/>
        <v>0</v>
      </c>
      <c r="BS12" s="17">
        <f t="shared" si="11"/>
        <v>15.360000000000003</v>
      </c>
      <c r="BT12">
        <f t="shared" si="41"/>
        <v>0.95</v>
      </c>
      <c r="BU12" s="17">
        <f t="shared" si="42"/>
        <v>16.168421052631583</v>
      </c>
      <c r="BV12" s="16">
        <f t="shared" si="12"/>
        <v>1</v>
      </c>
      <c r="BW12" s="25">
        <f t="shared" si="13"/>
        <v>15.360000000000003</v>
      </c>
      <c r="BX12" s="17">
        <f t="shared" si="43"/>
        <v>16.168421052631583</v>
      </c>
      <c r="BY12" s="22">
        <f t="shared" si="14"/>
        <v>64.658126147368421</v>
      </c>
      <c r="BZ12" s="25">
        <f t="shared" si="44"/>
        <v>2.0282535612535604</v>
      </c>
      <c r="CA12" s="29">
        <f t="shared" si="45"/>
        <v>460.80000000000007</v>
      </c>
      <c r="CB12" s="17">
        <f t="shared" si="15"/>
        <v>60.847606837606811</v>
      </c>
      <c r="CC12" s="17">
        <f t="shared" si="46"/>
        <v>1939.7437844210526</v>
      </c>
    </row>
    <row r="13" spans="1:102" x14ac:dyDescent="0.25">
      <c r="A13" t="s">
        <v>21</v>
      </c>
      <c r="B13">
        <v>31</v>
      </c>
      <c r="C13">
        <v>9</v>
      </c>
      <c r="D13">
        <v>9</v>
      </c>
      <c r="E13">
        <v>9</v>
      </c>
      <c r="F13">
        <v>7</v>
      </c>
      <c r="G13">
        <v>8</v>
      </c>
      <c r="H13">
        <v>6</v>
      </c>
      <c r="I13">
        <v>8</v>
      </c>
      <c r="J13">
        <v>10</v>
      </c>
      <c r="K13">
        <v>9</v>
      </c>
      <c r="L13" s="19">
        <f t="shared" si="1"/>
        <v>8.3333333333333339</v>
      </c>
      <c r="M13">
        <v>9</v>
      </c>
      <c r="N13" s="19">
        <f t="shared" si="2"/>
        <v>-0.66666666666666607</v>
      </c>
      <c r="O13" s="19">
        <f t="shared" si="3"/>
        <v>263.7</v>
      </c>
      <c r="P13" s="19">
        <f t="shared" si="4"/>
        <v>-19.533333333333317</v>
      </c>
      <c r="Q13" s="31">
        <f t="shared" si="47"/>
        <v>0.95</v>
      </c>
      <c r="R13" s="31">
        <f t="shared" si="16"/>
        <v>0.95</v>
      </c>
      <c r="S13">
        <f t="shared" si="17"/>
        <v>2.6</v>
      </c>
      <c r="T13" s="19">
        <f t="shared" si="18"/>
        <v>96.351923076923072</v>
      </c>
      <c r="U13" s="19">
        <f t="shared" si="19"/>
        <v>-7.1371794871794805</v>
      </c>
      <c r="V13" s="19">
        <f t="shared" si="5"/>
        <v>89.214743589743591</v>
      </c>
      <c r="W13" s="2">
        <f t="shared" si="20"/>
        <v>0.25</v>
      </c>
      <c r="X13" s="2">
        <f t="shared" si="6"/>
        <v>22.303685897435898</v>
      </c>
      <c r="Y13" s="7">
        <f t="shared" si="21"/>
        <v>2</v>
      </c>
      <c r="Z13" s="2">
        <f t="shared" si="7"/>
        <v>16.666666666666668</v>
      </c>
      <c r="AB13" s="19">
        <v>386.7475</v>
      </c>
      <c r="AC13" s="19"/>
      <c r="AD13" s="19"/>
      <c r="AE13" s="19">
        <f t="shared" si="8"/>
        <v>475.96224358974359</v>
      </c>
      <c r="AF13" s="19">
        <f t="shared" si="22"/>
        <v>-0.2302315963606284</v>
      </c>
      <c r="AG13" s="19">
        <f t="shared" si="23"/>
        <v>3.1081265508684863</v>
      </c>
      <c r="AH13" s="19">
        <f t="shared" si="24"/>
        <v>12.475725806451614</v>
      </c>
      <c r="AI13" s="25">
        <f t="shared" si="25"/>
        <v>15.353620760959471</v>
      </c>
      <c r="AJ13">
        <f t="shared" si="26"/>
        <v>0.95</v>
      </c>
      <c r="AK13">
        <f t="shared" si="27"/>
        <v>0.96499999999999997</v>
      </c>
      <c r="AN13">
        <f t="shared" si="28"/>
        <v>0.18</v>
      </c>
      <c r="AO13">
        <f t="shared" si="28"/>
        <v>0.9</v>
      </c>
      <c r="AP13" s="11">
        <f t="shared" si="9"/>
        <v>0.16200000000000001</v>
      </c>
      <c r="AQ13">
        <f t="shared" si="28"/>
        <v>12</v>
      </c>
      <c r="AR13">
        <f t="shared" si="29"/>
        <v>0.4</v>
      </c>
      <c r="AS13">
        <f t="shared" si="30"/>
        <v>0.9</v>
      </c>
      <c r="AT13" s="11">
        <f t="shared" si="10"/>
        <v>0.36000000000000004</v>
      </c>
      <c r="AU13" s="11">
        <f t="shared" si="31"/>
        <v>25</v>
      </c>
      <c r="AV13" s="17">
        <f t="shared" si="32"/>
        <v>10.560960000000001</v>
      </c>
      <c r="AW13" s="15">
        <f t="shared" si="33"/>
        <v>5.8672000000000004</v>
      </c>
      <c r="AX13" s="19">
        <v>228.8</v>
      </c>
      <c r="AY13" s="19">
        <f t="shared" si="34"/>
        <v>7.3806451612903228</v>
      </c>
      <c r="AZ13" s="19">
        <f t="shared" si="35"/>
        <v>2416.3476480000004</v>
      </c>
      <c r="BA13" s="19">
        <f t="shared" si="36"/>
        <v>77.946698322580659</v>
      </c>
      <c r="BB13" s="9">
        <f t="shared" si="37"/>
        <v>5.0767632948691936</v>
      </c>
      <c r="BC13" s="16">
        <f t="shared" si="38"/>
        <v>5</v>
      </c>
      <c r="BD13" s="16">
        <f t="shared" si="48"/>
        <v>0</v>
      </c>
      <c r="BE13" s="17">
        <f t="shared" si="49"/>
        <v>24</v>
      </c>
      <c r="BF13" s="17"/>
      <c r="BG13" s="17"/>
      <c r="BH13" s="17"/>
      <c r="BI13" s="17"/>
      <c r="BJ13" s="17"/>
      <c r="BK13" s="17"/>
      <c r="BL13" s="17"/>
      <c r="BM13" s="17"/>
      <c r="BN13" s="17"/>
      <c r="BO13" s="9">
        <f t="shared" si="50"/>
        <v>0.8</v>
      </c>
      <c r="BP13" s="9">
        <f t="shared" si="51"/>
        <v>0.2</v>
      </c>
      <c r="BQ13" s="17">
        <f t="shared" si="39"/>
        <v>15.360000000000003</v>
      </c>
      <c r="BR13" s="16">
        <f t="shared" si="40"/>
        <v>1</v>
      </c>
      <c r="BS13" s="17">
        <f>IF(BR13=1,AI13,BQ13)</f>
        <v>15.353620760959471</v>
      </c>
      <c r="BT13">
        <f t="shared" si="41"/>
        <v>0.95</v>
      </c>
      <c r="BU13" s="17">
        <f t="shared" si="42"/>
        <v>16.161706064167866</v>
      </c>
      <c r="BV13" s="16">
        <f t="shared" si="12"/>
        <v>1</v>
      </c>
      <c r="BW13" s="25">
        <f t="shared" si="13"/>
        <v>15.353620760959471</v>
      </c>
      <c r="BX13" s="17">
        <f t="shared" si="43"/>
        <v>16.161706064167866</v>
      </c>
      <c r="BY13" s="22">
        <f t="shared" si="14"/>
        <v>61.784992258412792</v>
      </c>
      <c r="BZ13" s="25">
        <f t="shared" si="44"/>
        <v>0</v>
      </c>
      <c r="CA13" s="29">
        <f t="shared" si="45"/>
        <v>475.96224358974359</v>
      </c>
      <c r="CB13" s="17">
        <f t="shared" si="15"/>
        <v>0</v>
      </c>
      <c r="CC13" s="17">
        <f t="shared" si="46"/>
        <v>1915.3347600107966</v>
      </c>
    </row>
    <row r="14" spans="1:102" x14ac:dyDescent="0.25">
      <c r="A14" t="s">
        <v>22</v>
      </c>
      <c r="B14">
        <v>31</v>
      </c>
      <c r="C14">
        <v>9</v>
      </c>
      <c r="D14">
        <v>14</v>
      </c>
      <c r="E14">
        <v>8</v>
      </c>
      <c r="F14">
        <v>8</v>
      </c>
      <c r="G14">
        <v>8</v>
      </c>
      <c r="H14">
        <v>8</v>
      </c>
      <c r="I14">
        <v>9</v>
      </c>
      <c r="J14">
        <v>11</v>
      </c>
      <c r="K14">
        <v>13</v>
      </c>
      <c r="L14" s="19">
        <f t="shared" si="1"/>
        <v>9.7777777777777786</v>
      </c>
      <c r="M14">
        <v>9</v>
      </c>
      <c r="N14" s="19">
        <f t="shared" si="2"/>
        <v>0.77777777777777857</v>
      </c>
      <c r="O14" s="19">
        <f t="shared" si="3"/>
        <v>263.7</v>
      </c>
      <c r="P14" s="19">
        <f t="shared" si="4"/>
        <v>22.788888888888913</v>
      </c>
      <c r="Q14" s="31">
        <f t="shared" si="47"/>
        <v>0.95</v>
      </c>
      <c r="R14" s="31">
        <f t="shared" si="16"/>
        <v>0.95</v>
      </c>
      <c r="S14">
        <f t="shared" si="17"/>
        <v>2.6</v>
      </c>
      <c r="T14" s="19">
        <f t="shared" si="18"/>
        <v>96.351923076923072</v>
      </c>
      <c r="U14" s="19">
        <f t="shared" si="19"/>
        <v>8.3267094017094099</v>
      </c>
      <c r="V14" s="19">
        <f t="shared" si="5"/>
        <v>104.67863247863248</v>
      </c>
      <c r="W14" s="2">
        <f t="shared" si="20"/>
        <v>0.25</v>
      </c>
      <c r="X14" s="2">
        <f t="shared" si="6"/>
        <v>26.16965811965812</v>
      </c>
      <c r="Y14" s="7">
        <f t="shared" si="21"/>
        <v>2</v>
      </c>
      <c r="Z14" s="2">
        <f t="shared" si="7"/>
        <v>19.555555555555557</v>
      </c>
      <c r="AB14" s="19">
        <v>439.71749999999997</v>
      </c>
      <c r="AC14" s="19"/>
      <c r="AD14" s="19"/>
      <c r="AE14" s="19">
        <f t="shared" si="8"/>
        <v>544.39613247863247</v>
      </c>
      <c r="AF14" s="19">
        <f t="shared" si="22"/>
        <v>0.26860352908740032</v>
      </c>
      <c r="AG14" s="19">
        <f t="shared" si="23"/>
        <v>3.1081265508684863</v>
      </c>
      <c r="AH14" s="19">
        <f t="shared" si="24"/>
        <v>14.184435483870967</v>
      </c>
      <c r="AI14" s="25">
        <f t="shared" si="25"/>
        <v>17.561165563826854</v>
      </c>
      <c r="AJ14">
        <f t="shared" si="26"/>
        <v>0.95</v>
      </c>
      <c r="AK14">
        <f t="shared" si="27"/>
        <v>0.96499999999999997</v>
      </c>
      <c r="AN14">
        <f t="shared" si="28"/>
        <v>0.18</v>
      </c>
      <c r="AO14">
        <f t="shared" si="28"/>
        <v>0.9</v>
      </c>
      <c r="AP14" s="11">
        <f t="shared" si="9"/>
        <v>0.16200000000000001</v>
      </c>
      <c r="AQ14">
        <f t="shared" si="28"/>
        <v>12</v>
      </c>
      <c r="AR14">
        <f t="shared" si="29"/>
        <v>0.4</v>
      </c>
      <c r="AS14">
        <f t="shared" si="30"/>
        <v>0.9</v>
      </c>
      <c r="AT14" s="11">
        <f t="shared" si="10"/>
        <v>0.36000000000000004</v>
      </c>
      <c r="AU14" s="11">
        <f t="shared" si="31"/>
        <v>25</v>
      </c>
      <c r="AV14" s="17">
        <f t="shared" si="32"/>
        <v>10.560960000000001</v>
      </c>
      <c r="AW14" s="15">
        <f t="shared" si="33"/>
        <v>5.8672000000000004</v>
      </c>
      <c r="AX14" s="19">
        <v>204.1</v>
      </c>
      <c r="AY14" s="19">
        <f t="shared" si="34"/>
        <v>6.5838709677419356</v>
      </c>
      <c r="AZ14" s="19">
        <f t="shared" si="35"/>
        <v>2155.4919360000004</v>
      </c>
      <c r="BA14" s="19">
        <f t="shared" si="36"/>
        <v>69.531997935483886</v>
      </c>
      <c r="BB14" s="9">
        <f t="shared" si="37"/>
        <v>3.9594181651990397</v>
      </c>
      <c r="BC14" s="16">
        <f t="shared" si="38"/>
        <v>5</v>
      </c>
      <c r="BD14" s="16">
        <f t="shared" si="48"/>
        <v>0</v>
      </c>
      <c r="BE14" s="17">
        <f t="shared" si="49"/>
        <v>24</v>
      </c>
      <c r="BF14" s="17"/>
      <c r="BG14" s="17"/>
      <c r="BH14" s="17"/>
      <c r="BI14" s="17"/>
      <c r="BJ14" s="17"/>
      <c r="BK14" s="17"/>
      <c r="BL14" s="17"/>
      <c r="BM14" s="17"/>
      <c r="BN14" s="17"/>
      <c r="BO14" s="9">
        <f t="shared" si="50"/>
        <v>0.8</v>
      </c>
      <c r="BP14" s="9">
        <f t="shared" si="51"/>
        <v>0.2</v>
      </c>
      <c r="BQ14" s="17">
        <f t="shared" si="39"/>
        <v>15.360000000000003</v>
      </c>
      <c r="BR14" s="16">
        <f t="shared" si="40"/>
        <v>0</v>
      </c>
      <c r="BS14" s="17">
        <f t="shared" ref="BS14:BS18" si="52">IF(BR14=1,AI14,BQ14)</f>
        <v>15.360000000000003</v>
      </c>
      <c r="BT14">
        <f t="shared" si="41"/>
        <v>0.95</v>
      </c>
      <c r="BU14" s="17">
        <f t="shared" si="42"/>
        <v>16.168421052631583</v>
      </c>
      <c r="BV14" s="16">
        <f t="shared" si="12"/>
        <v>1</v>
      </c>
      <c r="BW14" s="25">
        <f t="shared" si="13"/>
        <v>15.360000000000003</v>
      </c>
      <c r="BX14" s="17">
        <f t="shared" si="43"/>
        <v>16.168421052631583</v>
      </c>
      <c r="BY14" s="22">
        <f t="shared" si="14"/>
        <v>53.3635768828523</v>
      </c>
      <c r="BZ14" s="25">
        <f t="shared" si="44"/>
        <v>2.2011655638268515</v>
      </c>
      <c r="CA14" s="29">
        <f t="shared" si="45"/>
        <v>476.16000000000008</v>
      </c>
      <c r="CB14" s="17">
        <f t="shared" si="15"/>
        <v>68.236132478632399</v>
      </c>
      <c r="CC14" s="17">
        <f t="shared" si="46"/>
        <v>1654.2708833684212</v>
      </c>
    </row>
    <row r="15" spans="1:102" x14ac:dyDescent="0.25">
      <c r="A15" t="s">
        <v>23</v>
      </c>
      <c r="B15">
        <v>30</v>
      </c>
      <c r="C15">
        <v>10</v>
      </c>
      <c r="D15">
        <v>14</v>
      </c>
      <c r="E15">
        <v>8</v>
      </c>
      <c r="F15">
        <v>7</v>
      </c>
      <c r="G15">
        <v>8</v>
      </c>
      <c r="H15">
        <v>8</v>
      </c>
      <c r="I15">
        <v>8</v>
      </c>
      <c r="J15">
        <v>8</v>
      </c>
      <c r="K15">
        <v>12</v>
      </c>
      <c r="L15" s="19">
        <f t="shared" si="1"/>
        <v>9.2222222222222214</v>
      </c>
      <c r="M15">
        <v>9</v>
      </c>
      <c r="N15" s="19">
        <f t="shared" si="2"/>
        <v>0.22222222222222143</v>
      </c>
      <c r="O15" s="19">
        <f t="shared" si="3"/>
        <v>263.7</v>
      </c>
      <c r="P15" s="19">
        <f t="shared" si="4"/>
        <v>6.511111111111088</v>
      </c>
      <c r="Q15" s="31">
        <f t="shared" si="47"/>
        <v>0.95</v>
      </c>
      <c r="R15" s="31">
        <f t="shared" si="16"/>
        <v>0.95</v>
      </c>
      <c r="S15">
        <f t="shared" si="17"/>
        <v>2.6</v>
      </c>
      <c r="T15" s="19">
        <f t="shared" si="18"/>
        <v>96.351923076923072</v>
      </c>
      <c r="U15" s="19">
        <f t="shared" si="19"/>
        <v>2.3790598290598202</v>
      </c>
      <c r="V15" s="19">
        <f t="shared" si="5"/>
        <v>98.730982905982899</v>
      </c>
      <c r="W15" s="2">
        <f t="shared" si="20"/>
        <v>0.25</v>
      </c>
      <c r="X15" s="2">
        <f t="shared" si="6"/>
        <v>24.682745726495725</v>
      </c>
      <c r="Y15" s="7">
        <f t="shared" si="21"/>
        <v>2</v>
      </c>
      <c r="Z15" s="2">
        <f t="shared" si="7"/>
        <v>18.444444444444443</v>
      </c>
      <c r="AB15" s="19">
        <v>511.33500000000004</v>
      </c>
      <c r="AC15" s="19"/>
      <c r="AD15" s="19"/>
      <c r="AE15" s="19">
        <f t="shared" si="8"/>
        <v>610.06598290598299</v>
      </c>
      <c r="AF15" s="19">
        <f t="shared" si="22"/>
        <v>7.9301994301994E-2</v>
      </c>
      <c r="AG15" s="19">
        <f t="shared" si="23"/>
        <v>3.2117307692307691</v>
      </c>
      <c r="AH15" s="19">
        <f t="shared" si="24"/>
        <v>17.044500000000003</v>
      </c>
      <c r="AI15" s="25">
        <f t="shared" si="25"/>
        <v>20.335532763532765</v>
      </c>
      <c r="AJ15">
        <f t="shared" si="26"/>
        <v>0.95</v>
      </c>
      <c r="AK15">
        <f t="shared" si="27"/>
        <v>0.96499999999999997</v>
      </c>
      <c r="AN15">
        <f t="shared" si="28"/>
        <v>0.18</v>
      </c>
      <c r="AO15">
        <f t="shared" si="28"/>
        <v>0.9</v>
      </c>
      <c r="AP15" s="11">
        <f t="shared" si="9"/>
        <v>0.16200000000000001</v>
      </c>
      <c r="AQ15">
        <f t="shared" si="28"/>
        <v>12</v>
      </c>
      <c r="AR15">
        <f t="shared" si="29"/>
        <v>0.4</v>
      </c>
      <c r="AS15">
        <f t="shared" si="30"/>
        <v>0.9</v>
      </c>
      <c r="AT15" s="11">
        <f t="shared" si="10"/>
        <v>0.36000000000000004</v>
      </c>
      <c r="AU15" s="11">
        <f t="shared" si="31"/>
        <v>25</v>
      </c>
      <c r="AV15" s="17">
        <f t="shared" si="32"/>
        <v>10.560960000000001</v>
      </c>
      <c r="AW15" s="15">
        <f t="shared" si="33"/>
        <v>5.8672000000000004</v>
      </c>
      <c r="AX15" s="19">
        <v>163.19999999999999</v>
      </c>
      <c r="AY15" s="19">
        <f t="shared" si="34"/>
        <v>5.4399999999999995</v>
      </c>
      <c r="AZ15" s="19">
        <f t="shared" si="35"/>
        <v>1723.5486720000001</v>
      </c>
      <c r="BA15" s="19">
        <f t="shared" si="36"/>
        <v>57.451622400000005</v>
      </c>
      <c r="BB15" s="9">
        <f t="shared" si="37"/>
        <v>2.82518402975046</v>
      </c>
      <c r="BC15" s="16">
        <f t="shared" si="38"/>
        <v>5</v>
      </c>
      <c r="BD15" s="16">
        <f t="shared" si="48"/>
        <v>0</v>
      </c>
      <c r="BE15" s="17">
        <f t="shared" si="49"/>
        <v>24</v>
      </c>
      <c r="BF15" s="17"/>
      <c r="BG15" s="17"/>
      <c r="BH15" s="17"/>
      <c r="BI15" s="17"/>
      <c r="BJ15" s="17"/>
      <c r="BK15" s="17"/>
      <c r="BL15" s="17"/>
      <c r="BM15" s="17"/>
      <c r="BN15" s="17"/>
      <c r="BO15" s="9">
        <f t="shared" si="50"/>
        <v>0.8</v>
      </c>
      <c r="BP15" s="9">
        <f t="shared" si="51"/>
        <v>0.2</v>
      </c>
      <c r="BQ15" s="17">
        <f t="shared" si="39"/>
        <v>15.360000000000003</v>
      </c>
      <c r="BR15" s="16">
        <f t="shared" si="40"/>
        <v>0</v>
      </c>
      <c r="BS15" s="17">
        <f t="shared" si="52"/>
        <v>15.360000000000003</v>
      </c>
      <c r="BT15">
        <f t="shared" si="41"/>
        <v>0.95</v>
      </c>
      <c r="BU15" s="17">
        <f t="shared" si="42"/>
        <v>16.168421052631583</v>
      </c>
      <c r="BV15" s="16">
        <f t="shared" si="12"/>
        <v>1</v>
      </c>
      <c r="BW15" s="25">
        <f t="shared" si="13"/>
        <v>15.360000000000003</v>
      </c>
      <c r="BX15" s="17">
        <f t="shared" si="43"/>
        <v>16.168421052631583</v>
      </c>
      <c r="BY15" s="22">
        <f t="shared" si="14"/>
        <v>41.283201347368419</v>
      </c>
      <c r="BZ15" s="25">
        <f t="shared" si="44"/>
        <v>4.9755327635327617</v>
      </c>
      <c r="CA15" s="29">
        <f t="shared" si="45"/>
        <v>460.80000000000007</v>
      </c>
      <c r="CB15" s="17">
        <f t="shared" si="15"/>
        <v>149.26598290598287</v>
      </c>
      <c r="CC15" s="17">
        <f t="shared" si="46"/>
        <v>1238.4960404210526</v>
      </c>
    </row>
    <row r="16" spans="1:102" x14ac:dyDescent="0.25">
      <c r="A16" t="s">
        <v>24</v>
      </c>
      <c r="B16">
        <v>31</v>
      </c>
      <c r="C16">
        <v>19</v>
      </c>
      <c r="D16">
        <v>23</v>
      </c>
      <c r="E16">
        <v>10</v>
      </c>
      <c r="F16">
        <v>8</v>
      </c>
      <c r="G16">
        <v>10</v>
      </c>
      <c r="H16">
        <v>16</v>
      </c>
      <c r="I16">
        <v>9</v>
      </c>
      <c r="J16">
        <v>16</v>
      </c>
      <c r="K16">
        <v>11</v>
      </c>
      <c r="L16" s="19">
        <f t="shared" si="1"/>
        <v>13.555555555555555</v>
      </c>
      <c r="M16">
        <v>9</v>
      </c>
      <c r="N16" s="19">
        <f t="shared" si="2"/>
        <v>4.5555555555555554</v>
      </c>
      <c r="O16" s="19">
        <f t="shared" si="3"/>
        <v>263.7</v>
      </c>
      <c r="P16" s="19">
        <f t="shared" si="4"/>
        <v>133.47777777777779</v>
      </c>
      <c r="Q16" s="31">
        <f t="shared" si="47"/>
        <v>0.95</v>
      </c>
      <c r="R16" s="31">
        <f t="shared" si="16"/>
        <v>0.95</v>
      </c>
      <c r="S16">
        <f t="shared" si="17"/>
        <v>2.6</v>
      </c>
      <c r="T16" s="19">
        <f t="shared" si="18"/>
        <v>96.351923076923072</v>
      </c>
      <c r="U16" s="19">
        <f t="shared" si="19"/>
        <v>48.770726495726493</v>
      </c>
      <c r="V16" s="19">
        <f t="shared" si="5"/>
        <v>145.12264957264955</v>
      </c>
      <c r="W16" s="2">
        <f t="shared" si="20"/>
        <v>0.25</v>
      </c>
      <c r="X16" s="2">
        <f t="shared" si="6"/>
        <v>36.280662393162388</v>
      </c>
      <c r="Y16" s="7">
        <f t="shared" si="21"/>
        <v>2</v>
      </c>
      <c r="Z16" s="2">
        <f t="shared" si="7"/>
        <v>27.111111111111111</v>
      </c>
      <c r="AB16" s="19">
        <v>417.82</v>
      </c>
      <c r="AC16" s="19"/>
      <c r="AD16" s="19"/>
      <c r="AE16" s="19">
        <f t="shared" si="8"/>
        <v>562.94264957264954</v>
      </c>
      <c r="AF16" s="19">
        <f t="shared" si="22"/>
        <v>1.5732492417976287</v>
      </c>
      <c r="AG16" s="19">
        <f t="shared" si="23"/>
        <v>3.1081265508684863</v>
      </c>
      <c r="AH16" s="19">
        <f t="shared" si="24"/>
        <v>13.478064516129033</v>
      </c>
      <c r="AI16" s="25">
        <f t="shared" si="25"/>
        <v>18.159440308795148</v>
      </c>
      <c r="AJ16">
        <f t="shared" si="26"/>
        <v>0.95</v>
      </c>
      <c r="AK16">
        <f t="shared" si="27"/>
        <v>0.96499999999999997</v>
      </c>
      <c r="AN16">
        <f t="shared" si="28"/>
        <v>0.18</v>
      </c>
      <c r="AO16">
        <f t="shared" si="28"/>
        <v>0.9</v>
      </c>
      <c r="AP16" s="11">
        <f t="shared" si="9"/>
        <v>0.16200000000000001</v>
      </c>
      <c r="AQ16">
        <f t="shared" si="28"/>
        <v>12</v>
      </c>
      <c r="AR16">
        <f t="shared" si="29"/>
        <v>0.4</v>
      </c>
      <c r="AS16">
        <f t="shared" si="30"/>
        <v>0.9</v>
      </c>
      <c r="AT16" s="11">
        <f t="shared" si="10"/>
        <v>0.36000000000000004</v>
      </c>
      <c r="AU16" s="11">
        <f t="shared" si="31"/>
        <v>25</v>
      </c>
      <c r="AV16" s="17">
        <f t="shared" si="32"/>
        <v>10.560960000000001</v>
      </c>
      <c r="AW16" s="15">
        <f t="shared" si="33"/>
        <v>5.8672000000000004</v>
      </c>
      <c r="AX16" s="19">
        <v>110.8</v>
      </c>
      <c r="AY16" s="19">
        <f t="shared" si="34"/>
        <v>3.5741935483870968</v>
      </c>
      <c r="AZ16" s="19">
        <f t="shared" si="35"/>
        <v>1170.1543680000002</v>
      </c>
      <c r="BA16" s="19">
        <f t="shared" si="36"/>
        <v>37.746915096774202</v>
      </c>
      <c r="BB16" s="9">
        <f t="shared" si="37"/>
        <v>2.0786386835112021</v>
      </c>
      <c r="BC16" s="16">
        <f t="shared" si="38"/>
        <v>5</v>
      </c>
      <c r="BD16" s="16">
        <f t="shared" si="48"/>
        <v>0</v>
      </c>
      <c r="BE16" s="17">
        <f t="shared" si="49"/>
        <v>24</v>
      </c>
      <c r="BF16" s="17"/>
      <c r="BG16" s="17"/>
      <c r="BH16" s="17"/>
      <c r="BI16" s="17"/>
      <c r="BJ16" s="17"/>
      <c r="BK16" s="17"/>
      <c r="BL16" s="17"/>
      <c r="BM16" s="17"/>
      <c r="BN16" s="17"/>
      <c r="BO16" s="9">
        <f t="shared" si="50"/>
        <v>0.8</v>
      </c>
      <c r="BP16" s="9">
        <f t="shared" si="51"/>
        <v>0.2</v>
      </c>
      <c r="BQ16" s="17">
        <f t="shared" si="39"/>
        <v>15.360000000000003</v>
      </c>
      <c r="BR16" s="16">
        <f t="shared" si="40"/>
        <v>0</v>
      </c>
      <c r="BS16" s="17">
        <f t="shared" si="52"/>
        <v>15.360000000000003</v>
      </c>
      <c r="BT16">
        <f t="shared" si="41"/>
        <v>0.95</v>
      </c>
      <c r="BU16" s="17">
        <f t="shared" si="42"/>
        <v>16.168421052631583</v>
      </c>
      <c r="BV16" s="16">
        <f t="shared" si="12"/>
        <v>1</v>
      </c>
      <c r="BW16" s="25">
        <f t="shared" si="13"/>
        <v>15.360000000000003</v>
      </c>
      <c r="BX16" s="17">
        <f t="shared" si="43"/>
        <v>16.168421052631583</v>
      </c>
      <c r="BY16" s="22">
        <f t="shared" si="14"/>
        <v>21.578494044142619</v>
      </c>
      <c r="BZ16" s="25">
        <f t="shared" si="44"/>
        <v>2.7994403087951447</v>
      </c>
      <c r="CA16" s="29">
        <f t="shared" si="45"/>
        <v>476.16000000000008</v>
      </c>
      <c r="CB16" s="17">
        <f t="shared" si="15"/>
        <v>86.78264957264949</v>
      </c>
      <c r="CC16" s="17">
        <f t="shared" si="46"/>
        <v>668.93331536842118</v>
      </c>
    </row>
    <row r="17" spans="1:82" x14ac:dyDescent="0.25">
      <c r="A17" t="s">
        <v>25</v>
      </c>
      <c r="B17">
        <v>30</v>
      </c>
      <c r="C17">
        <v>59</v>
      </c>
      <c r="D17">
        <v>70</v>
      </c>
      <c r="E17">
        <v>37</v>
      </c>
      <c r="F17">
        <v>61</v>
      </c>
      <c r="G17">
        <v>47</v>
      </c>
      <c r="H17">
        <v>56</v>
      </c>
      <c r="I17">
        <v>60</v>
      </c>
      <c r="J17">
        <v>52</v>
      </c>
      <c r="K17">
        <v>66</v>
      </c>
      <c r="L17" s="19">
        <f t="shared" si="1"/>
        <v>56.444444444444443</v>
      </c>
      <c r="M17">
        <v>9</v>
      </c>
      <c r="N17" s="19">
        <f t="shared" si="2"/>
        <v>47.444444444444443</v>
      </c>
      <c r="O17" s="19">
        <f t="shared" si="3"/>
        <v>263.7</v>
      </c>
      <c r="P17" s="19">
        <f t="shared" si="4"/>
        <v>1390.1222222222223</v>
      </c>
      <c r="Q17" s="31">
        <f t="shared" si="47"/>
        <v>0.95</v>
      </c>
      <c r="R17" s="31">
        <f t="shared" si="16"/>
        <v>0.95</v>
      </c>
      <c r="S17">
        <f t="shared" si="17"/>
        <v>2.6</v>
      </c>
      <c r="T17" s="19">
        <f t="shared" si="18"/>
        <v>96.351923076923072</v>
      </c>
      <c r="U17" s="19">
        <f t="shared" si="19"/>
        <v>507.92927350427351</v>
      </c>
      <c r="V17" s="19">
        <f t="shared" si="5"/>
        <v>604.28119658119658</v>
      </c>
      <c r="W17" s="2">
        <f t="shared" si="20"/>
        <v>0.25</v>
      </c>
      <c r="X17" s="2">
        <f t="shared" si="6"/>
        <v>151.07029914529915</v>
      </c>
      <c r="Y17" s="7">
        <f t="shared" si="21"/>
        <v>2</v>
      </c>
      <c r="Z17" s="2">
        <f t="shared" si="7"/>
        <v>112.88888888888889</v>
      </c>
      <c r="AB17" s="19">
        <v>645.3366666666667</v>
      </c>
      <c r="AC17" s="19"/>
      <c r="AD17" s="19"/>
      <c r="AE17" s="19">
        <f t="shared" si="8"/>
        <v>1249.6178632478632</v>
      </c>
      <c r="AF17" s="19">
        <f t="shared" si="22"/>
        <v>16.930975783475784</v>
      </c>
      <c r="AG17" s="19">
        <f t="shared" si="23"/>
        <v>3.2117307692307691</v>
      </c>
      <c r="AH17" s="19">
        <f t="shared" si="24"/>
        <v>21.511222222222223</v>
      </c>
      <c r="AI17" s="25">
        <f t="shared" si="25"/>
        <v>41.653928774928772</v>
      </c>
      <c r="AJ17">
        <f t="shared" si="26"/>
        <v>0.95</v>
      </c>
      <c r="AK17">
        <f t="shared" si="27"/>
        <v>0.96499999999999997</v>
      </c>
      <c r="AN17">
        <f t="shared" si="28"/>
        <v>0.18</v>
      </c>
      <c r="AO17">
        <f t="shared" si="28"/>
        <v>0.9</v>
      </c>
      <c r="AP17" s="11">
        <f t="shared" si="9"/>
        <v>0.16200000000000001</v>
      </c>
      <c r="AQ17">
        <f t="shared" si="28"/>
        <v>12</v>
      </c>
      <c r="AR17">
        <f t="shared" si="29"/>
        <v>0.4</v>
      </c>
      <c r="AS17">
        <f t="shared" si="30"/>
        <v>0.9</v>
      </c>
      <c r="AT17" s="11">
        <f t="shared" si="10"/>
        <v>0.36000000000000004</v>
      </c>
      <c r="AU17" s="11">
        <f t="shared" si="31"/>
        <v>25</v>
      </c>
      <c r="AV17" s="17">
        <f t="shared" si="32"/>
        <v>10.560960000000001</v>
      </c>
      <c r="AW17" s="15">
        <f t="shared" si="33"/>
        <v>5.8672000000000004</v>
      </c>
      <c r="AX17" s="19">
        <v>71.8</v>
      </c>
      <c r="AY17" s="19">
        <f t="shared" si="34"/>
        <v>2.3933333333333331</v>
      </c>
      <c r="AZ17" s="19">
        <f t="shared" si="35"/>
        <v>758.27692800000011</v>
      </c>
      <c r="BA17" s="19">
        <f t="shared" si="36"/>
        <v>25.275897600000004</v>
      </c>
      <c r="BB17" s="9">
        <f t="shared" si="37"/>
        <v>0.60680704901990901</v>
      </c>
      <c r="BC17" s="16">
        <f t="shared" si="38"/>
        <v>5</v>
      </c>
      <c r="BD17" s="16">
        <f t="shared" si="48"/>
        <v>0</v>
      </c>
      <c r="BE17" s="17">
        <f t="shared" si="49"/>
        <v>24</v>
      </c>
      <c r="BF17" s="17"/>
      <c r="BG17" s="17"/>
      <c r="BH17" s="17"/>
      <c r="BI17" s="17"/>
      <c r="BJ17" s="17"/>
      <c r="BK17" s="17"/>
      <c r="BL17" s="17"/>
      <c r="BM17" s="17"/>
      <c r="BN17" s="17"/>
      <c r="BO17" s="9">
        <f t="shared" si="50"/>
        <v>0.8</v>
      </c>
      <c r="BP17" s="9">
        <f t="shared" si="51"/>
        <v>0.2</v>
      </c>
      <c r="BQ17" s="17">
        <f t="shared" si="39"/>
        <v>15.360000000000003</v>
      </c>
      <c r="BR17" s="16">
        <f t="shared" si="40"/>
        <v>0</v>
      </c>
      <c r="BS17" s="17">
        <f t="shared" si="52"/>
        <v>15.360000000000003</v>
      </c>
      <c r="BT17">
        <f t="shared" si="41"/>
        <v>0.95</v>
      </c>
      <c r="BU17" s="17">
        <f t="shared" si="42"/>
        <v>16.168421052631583</v>
      </c>
      <c r="BV17" s="16">
        <f t="shared" si="12"/>
        <v>1</v>
      </c>
      <c r="BW17" s="25">
        <f t="shared" si="13"/>
        <v>15.360000000000003</v>
      </c>
      <c r="BX17" s="17">
        <f t="shared" si="43"/>
        <v>16.168421052631583</v>
      </c>
      <c r="BY17" s="22">
        <f t="shared" si="14"/>
        <v>9.1074765473684209</v>
      </c>
      <c r="BZ17" s="25">
        <f t="shared" si="44"/>
        <v>26.293928774928769</v>
      </c>
      <c r="CA17" s="29">
        <f t="shared" si="45"/>
        <v>460.80000000000007</v>
      </c>
      <c r="CB17" s="17">
        <f t="shared" si="15"/>
        <v>788.8178632478631</v>
      </c>
      <c r="CC17" s="17">
        <f t="shared" si="46"/>
        <v>273.2242964210526</v>
      </c>
    </row>
    <row r="18" spans="1:82" x14ac:dyDescent="0.25">
      <c r="A18" t="s">
        <v>26</v>
      </c>
      <c r="B18">
        <v>31</v>
      </c>
      <c r="C18">
        <v>103</v>
      </c>
      <c r="D18">
        <v>117</v>
      </c>
      <c r="E18">
        <v>55</v>
      </c>
      <c r="F18">
        <v>89</v>
      </c>
      <c r="G18">
        <v>88</v>
      </c>
      <c r="H18">
        <v>106</v>
      </c>
      <c r="I18">
        <v>73</v>
      </c>
      <c r="J18">
        <v>61</v>
      </c>
      <c r="K18">
        <v>77</v>
      </c>
      <c r="L18" s="19">
        <f t="shared" si="1"/>
        <v>85.444444444444443</v>
      </c>
      <c r="M18">
        <v>9</v>
      </c>
      <c r="N18" s="19">
        <f t="shared" si="2"/>
        <v>76.444444444444443</v>
      </c>
      <c r="O18" s="19">
        <f t="shared" si="3"/>
        <v>263.7</v>
      </c>
      <c r="P18" s="19">
        <f t="shared" si="4"/>
        <v>2239.8222222222221</v>
      </c>
      <c r="Q18" s="31">
        <f t="shared" si="47"/>
        <v>0.95</v>
      </c>
      <c r="R18" s="31">
        <f t="shared" si="16"/>
        <v>0.95</v>
      </c>
      <c r="S18">
        <f t="shared" si="17"/>
        <v>2.6</v>
      </c>
      <c r="T18" s="19">
        <f t="shared" si="18"/>
        <v>96.351923076923072</v>
      </c>
      <c r="U18" s="19">
        <f t="shared" si="19"/>
        <v>818.396581196581</v>
      </c>
      <c r="V18" s="19">
        <f t="shared" si="5"/>
        <v>914.74850427350407</v>
      </c>
      <c r="W18" s="2">
        <f t="shared" si="20"/>
        <v>0.25</v>
      </c>
      <c r="X18" s="2">
        <f t="shared" si="6"/>
        <v>228.68712606837602</v>
      </c>
      <c r="Y18" s="7">
        <f t="shared" si="21"/>
        <v>2</v>
      </c>
      <c r="Z18" s="2">
        <f t="shared" si="7"/>
        <v>170.88888888888889</v>
      </c>
      <c r="AB18" s="19">
        <v>630.875</v>
      </c>
      <c r="AC18" s="19"/>
      <c r="AD18" s="19"/>
      <c r="AE18" s="19">
        <f t="shared" si="8"/>
        <v>1545.6235042735041</v>
      </c>
      <c r="AF18" s="19">
        <f t="shared" si="22"/>
        <v>26.399889716018741</v>
      </c>
      <c r="AG18" s="19">
        <f t="shared" si="23"/>
        <v>3.1081265508684863</v>
      </c>
      <c r="AH18" s="19">
        <f t="shared" si="24"/>
        <v>20.350806451612904</v>
      </c>
      <c r="AI18" s="26">
        <f t="shared" si="25"/>
        <v>49.858822718500129</v>
      </c>
      <c r="AJ18">
        <f t="shared" si="26"/>
        <v>0.95</v>
      </c>
      <c r="AK18">
        <f t="shared" si="27"/>
        <v>0.96499999999999997</v>
      </c>
      <c r="AN18">
        <f t="shared" si="28"/>
        <v>0.18</v>
      </c>
      <c r="AO18">
        <f t="shared" si="28"/>
        <v>0.9</v>
      </c>
      <c r="AP18" s="11">
        <f t="shared" si="9"/>
        <v>0.16200000000000001</v>
      </c>
      <c r="AQ18">
        <f t="shared" si="28"/>
        <v>12</v>
      </c>
      <c r="AR18">
        <f t="shared" si="29"/>
        <v>0.4</v>
      </c>
      <c r="AS18">
        <f t="shared" si="30"/>
        <v>0.9</v>
      </c>
      <c r="AT18" s="11">
        <f t="shared" si="10"/>
        <v>0.36000000000000004</v>
      </c>
      <c r="AU18" s="11">
        <f t="shared" si="31"/>
        <v>25</v>
      </c>
      <c r="AV18" s="17">
        <f t="shared" si="32"/>
        <v>10.560960000000001</v>
      </c>
      <c r="AW18" s="15">
        <f t="shared" si="33"/>
        <v>5.8672000000000004</v>
      </c>
      <c r="AX18" s="19">
        <v>48.8</v>
      </c>
      <c r="AY18" s="19">
        <f t="shared" si="34"/>
        <v>1.5741935483870966</v>
      </c>
      <c r="AZ18" s="19">
        <f t="shared" si="35"/>
        <v>515.37484800000004</v>
      </c>
      <c r="BA18" s="19">
        <f t="shared" si="36"/>
        <v>16.624995096774196</v>
      </c>
      <c r="BB18" s="9">
        <f t="shared" si="37"/>
        <v>0.3334413889120067</v>
      </c>
      <c r="BC18" s="16">
        <f t="shared" si="38"/>
        <v>5</v>
      </c>
      <c r="BD18" s="16">
        <f t="shared" si="48"/>
        <v>0</v>
      </c>
      <c r="BE18" s="17">
        <f t="shared" si="49"/>
        <v>24</v>
      </c>
      <c r="BF18" s="17"/>
      <c r="BG18" s="17"/>
      <c r="BH18" s="17"/>
      <c r="BI18" s="17"/>
      <c r="BJ18" s="17"/>
      <c r="BK18" s="17"/>
      <c r="BL18" s="17"/>
      <c r="BM18" s="17"/>
      <c r="BN18" s="17"/>
      <c r="BO18" s="9">
        <f t="shared" si="50"/>
        <v>0.8</v>
      </c>
      <c r="BP18" s="9">
        <f t="shared" si="51"/>
        <v>0.2</v>
      </c>
      <c r="BQ18" s="17">
        <f t="shared" si="39"/>
        <v>15.360000000000003</v>
      </c>
      <c r="BR18" s="16">
        <f t="shared" si="40"/>
        <v>0</v>
      </c>
      <c r="BS18" s="17">
        <f t="shared" si="52"/>
        <v>15.360000000000003</v>
      </c>
      <c r="BT18">
        <f t="shared" si="41"/>
        <v>0.95</v>
      </c>
      <c r="BU18" s="17">
        <f t="shared" si="42"/>
        <v>16.168421052631583</v>
      </c>
      <c r="BV18" s="16">
        <f t="shared" si="12"/>
        <v>1</v>
      </c>
      <c r="BW18" s="26">
        <f t="shared" si="13"/>
        <v>15.360000000000003</v>
      </c>
      <c r="BX18" s="17">
        <f t="shared" si="43"/>
        <v>16.168421052631583</v>
      </c>
      <c r="BY18" s="23">
        <f t="shared" si="14"/>
        <v>0.45657404414261293</v>
      </c>
      <c r="BZ18" s="26">
        <f t="shared" si="44"/>
        <v>34.498822718500122</v>
      </c>
      <c r="CA18" s="29">
        <f t="shared" si="45"/>
        <v>476.16000000000008</v>
      </c>
      <c r="CB18" s="17">
        <f t="shared" si="15"/>
        <v>1069.4635042735038</v>
      </c>
      <c r="CC18" s="17">
        <f t="shared" si="46"/>
        <v>14.153795368421001</v>
      </c>
    </row>
    <row r="19" spans="1:82" x14ac:dyDescent="0.25">
      <c r="AX19" s="19"/>
      <c r="AY19" s="19"/>
      <c r="AZ19" s="19"/>
      <c r="BA19" s="19"/>
    </row>
    <row r="20" spans="1:82" x14ac:dyDescent="0.25">
      <c r="U20" t="s">
        <v>31</v>
      </c>
      <c r="V20" s="19">
        <f>SUM(V7:V18)</f>
        <v>4538.056623931624</v>
      </c>
      <c r="X20" s="6">
        <f>SUM(X7:X18)</f>
        <v>1134.514155982906</v>
      </c>
      <c r="Z20" s="6">
        <f>SUM(Z7:Z18)</f>
        <v>847.77777777777783</v>
      </c>
      <c r="AA20" s="6">
        <f>X20-Z20</f>
        <v>286.73637820512818</v>
      </c>
      <c r="AB20" s="19">
        <f>SUM(AB7:AB18)</f>
        <v>6060.8916666666664</v>
      </c>
      <c r="AC20" s="6">
        <f>AB20*W7</f>
        <v>1515.2229166666666</v>
      </c>
      <c r="AD20" s="6">
        <f>AC20+Z20</f>
        <v>2363.0006944444444</v>
      </c>
      <c r="AE20" s="33">
        <f>SUM(AE7:AE18)</f>
        <v>10598.94829059829</v>
      </c>
      <c r="AX20" s="19"/>
      <c r="AY20" s="19"/>
      <c r="AZ20" s="33">
        <f>SUM(AZ7:AZ18)</f>
        <v>17894.490624000002</v>
      </c>
      <c r="BA20" s="19"/>
      <c r="BW20" s="19">
        <f>SUM(BW7:BW18)</f>
        <v>184.31362076095954</v>
      </c>
      <c r="BY20" s="19">
        <f>SUM(BY7:BY18)</f>
        <v>392.82410174620821</v>
      </c>
      <c r="BZ20" s="19">
        <f>SUM(BZ7:BZ18)</f>
        <v>164.78470615662758</v>
      </c>
      <c r="CA20" s="19">
        <f>SUM(CA7:CA18)</f>
        <v>5610.0422435897444</v>
      </c>
      <c r="CB20" s="19">
        <f>SUM(CB7:CB18)</f>
        <v>4988.906047008546</v>
      </c>
      <c r="CC20" s="19">
        <f>SUM(CC7:CC18)</f>
        <v>11989.182999168692</v>
      </c>
    </row>
    <row r="21" spans="1:82" x14ac:dyDescent="0.25">
      <c r="AZ21" s="9">
        <f>AZ20/AE20</f>
        <v>1.6883270050362604</v>
      </c>
      <c r="BA21" t="s">
        <v>73</v>
      </c>
      <c r="CA21" s="9">
        <f>CA20/AE20</f>
        <v>0.5293017844578114</v>
      </c>
      <c r="CB21" s="9">
        <f>CB20/AE20</f>
        <v>0.47069821554218871</v>
      </c>
      <c r="CC21" s="9">
        <f>CC20/AE20</f>
        <v>1.1311672319227748</v>
      </c>
    </row>
    <row r="22" spans="1:82" x14ac:dyDescent="0.25">
      <c r="CB22" s="34">
        <f>CA21+CB21</f>
        <v>1</v>
      </c>
      <c r="CC22" s="9">
        <f>CA21+CC21-1</f>
        <v>0.66046901638058619</v>
      </c>
    </row>
    <row r="23" spans="1:82" x14ac:dyDescent="0.25">
      <c r="CB23" t="s">
        <v>114</v>
      </c>
      <c r="CC23" t="s">
        <v>115</v>
      </c>
      <c r="CD23" s="20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D7DDF-F1CE-4CAB-9365-D638334B6B92}">
  <dimension ref="A1:J61"/>
  <sheetViews>
    <sheetView workbookViewId="0">
      <selection activeCell="F52" sqref="F52"/>
    </sheetView>
  </sheetViews>
  <sheetFormatPr defaultRowHeight="15" x14ac:dyDescent="0.25"/>
  <cols>
    <col min="2" max="2" width="19" bestFit="1" customWidth="1"/>
    <col min="3" max="3" width="21.85546875" bestFit="1" customWidth="1"/>
    <col min="4" max="4" width="10.140625" bestFit="1" customWidth="1"/>
    <col min="5" max="5" width="19.5703125" bestFit="1" customWidth="1"/>
    <col min="6" max="6" width="14.5703125" bestFit="1" customWidth="1"/>
    <col min="7" max="7" width="18.140625" bestFit="1" customWidth="1"/>
    <col min="10" max="10" width="15.7109375" bestFit="1" customWidth="1"/>
  </cols>
  <sheetData>
    <row r="1" spans="1:10" x14ac:dyDescent="0.25">
      <c r="A1" t="s">
        <v>118</v>
      </c>
    </row>
    <row r="3" spans="1:10" x14ac:dyDescent="0.25">
      <c r="A3" s="42" t="s">
        <v>94</v>
      </c>
      <c r="B3" s="42" t="s">
        <v>122</v>
      </c>
      <c r="C3" s="42" t="s">
        <v>123</v>
      </c>
      <c r="D3" s="42" t="s">
        <v>119</v>
      </c>
      <c r="E3" s="42" t="s">
        <v>124</v>
      </c>
      <c r="F3" s="42" t="s">
        <v>125</v>
      </c>
      <c r="G3" s="42" t="s">
        <v>127</v>
      </c>
      <c r="H3" s="42" t="s">
        <v>120</v>
      </c>
      <c r="I3" s="42" t="s">
        <v>121</v>
      </c>
      <c r="J3" s="42" t="s">
        <v>126</v>
      </c>
    </row>
    <row r="4" spans="1:10" x14ac:dyDescent="0.25">
      <c r="A4">
        <v>1</v>
      </c>
      <c r="B4">
        <v>1</v>
      </c>
      <c r="C4">
        <v>1</v>
      </c>
      <c r="D4" s="9">
        <v>0.05</v>
      </c>
      <c r="E4" s="45">
        <f>D4*100</f>
        <v>5</v>
      </c>
      <c r="F4" s="9">
        <v>0.05</v>
      </c>
      <c r="G4" s="9">
        <f>F4*10</f>
        <v>0.5</v>
      </c>
      <c r="H4" s="13">
        <v>14238</v>
      </c>
      <c r="I4" s="44">
        <f>H4/1000</f>
        <v>14.238</v>
      </c>
      <c r="J4" s="6">
        <v>4.71</v>
      </c>
    </row>
    <row r="5" spans="1:10" x14ac:dyDescent="0.25">
      <c r="A5">
        <v>2</v>
      </c>
      <c r="B5">
        <v>3</v>
      </c>
      <c r="C5">
        <v>1</v>
      </c>
      <c r="D5" s="9">
        <v>0.11</v>
      </c>
      <c r="E5" s="45">
        <f t="shared" ref="E5:E61" si="0">D5*100</f>
        <v>11</v>
      </c>
      <c r="F5" s="9">
        <v>0.11</v>
      </c>
      <c r="G5" s="9">
        <f t="shared" ref="G5:G61" si="1">F5*10</f>
        <v>1.1000000000000001</v>
      </c>
      <c r="H5" s="13">
        <v>19576</v>
      </c>
      <c r="I5" s="44">
        <f t="shared" ref="I5:I61" si="2">H5/1000</f>
        <v>19.576000000000001</v>
      </c>
      <c r="J5" s="6">
        <v>5.76</v>
      </c>
    </row>
    <row r="6" spans="1:10" x14ac:dyDescent="0.25">
      <c r="A6">
        <v>3</v>
      </c>
      <c r="B6">
        <v>4</v>
      </c>
      <c r="C6">
        <v>1</v>
      </c>
      <c r="D6" s="9">
        <v>0.16</v>
      </c>
      <c r="E6" s="45">
        <f t="shared" si="0"/>
        <v>16</v>
      </c>
      <c r="F6" s="9">
        <v>0.16</v>
      </c>
      <c r="G6" s="9">
        <f t="shared" si="1"/>
        <v>1.6</v>
      </c>
      <c r="H6" s="13">
        <v>22464</v>
      </c>
      <c r="I6" s="44">
        <f t="shared" si="2"/>
        <v>22.463999999999999</v>
      </c>
      <c r="J6" s="6">
        <v>6.13</v>
      </c>
    </row>
    <row r="7" spans="1:10" x14ac:dyDescent="0.25">
      <c r="A7">
        <v>4</v>
      </c>
      <c r="B7">
        <v>4</v>
      </c>
      <c r="C7">
        <v>1</v>
      </c>
      <c r="D7" s="9">
        <v>0.21</v>
      </c>
      <c r="E7" s="45">
        <f t="shared" si="0"/>
        <v>21</v>
      </c>
      <c r="F7" s="9">
        <v>0.21</v>
      </c>
      <c r="G7" s="9">
        <f t="shared" si="1"/>
        <v>2.1</v>
      </c>
      <c r="H7" s="13">
        <v>22902</v>
      </c>
      <c r="I7" s="44">
        <f t="shared" si="2"/>
        <v>22.902000000000001</v>
      </c>
      <c r="J7" s="6">
        <v>5.84</v>
      </c>
    </row>
    <row r="8" spans="1:10" x14ac:dyDescent="0.25">
      <c r="A8">
        <v>5</v>
      </c>
      <c r="B8">
        <v>5</v>
      </c>
      <c r="C8">
        <v>1</v>
      </c>
      <c r="D8" s="9">
        <v>0.26</v>
      </c>
      <c r="E8" s="45">
        <f t="shared" si="0"/>
        <v>26</v>
      </c>
      <c r="F8" s="9">
        <v>0.26</v>
      </c>
      <c r="G8" s="9">
        <f t="shared" si="1"/>
        <v>2.6</v>
      </c>
      <c r="H8" s="13">
        <v>25790</v>
      </c>
      <c r="I8" s="44">
        <f t="shared" si="2"/>
        <v>25.79</v>
      </c>
      <c r="J8" s="6">
        <v>6.21</v>
      </c>
    </row>
    <row r="9" spans="1:10" x14ac:dyDescent="0.25">
      <c r="A9">
        <v>6</v>
      </c>
      <c r="B9">
        <v>6</v>
      </c>
      <c r="C9">
        <v>1</v>
      </c>
      <c r="D9" s="9">
        <v>0.32</v>
      </c>
      <c r="E9" s="45">
        <f t="shared" si="0"/>
        <v>32</v>
      </c>
      <c r="F9" s="9">
        <v>0.32</v>
      </c>
      <c r="G9" s="9">
        <f t="shared" si="1"/>
        <v>3.2</v>
      </c>
      <c r="H9" s="13">
        <v>28678</v>
      </c>
      <c r="I9" s="44">
        <f t="shared" si="2"/>
        <v>28.678000000000001</v>
      </c>
      <c r="J9" s="6">
        <v>6.59</v>
      </c>
    </row>
    <row r="10" spans="1:10" x14ac:dyDescent="0.25">
      <c r="A10">
        <v>7</v>
      </c>
      <c r="B10">
        <v>7</v>
      </c>
      <c r="C10">
        <v>1</v>
      </c>
      <c r="D10" s="9">
        <v>0.36</v>
      </c>
      <c r="E10" s="45">
        <f t="shared" si="0"/>
        <v>36</v>
      </c>
      <c r="F10" s="9">
        <v>0.37</v>
      </c>
      <c r="G10" s="9">
        <f t="shared" si="1"/>
        <v>3.7</v>
      </c>
      <c r="H10" s="13">
        <v>31566</v>
      </c>
      <c r="I10" s="44">
        <f t="shared" si="2"/>
        <v>31.565999999999999</v>
      </c>
      <c r="J10" s="6">
        <v>6.97</v>
      </c>
    </row>
    <row r="11" spans="1:10" x14ac:dyDescent="0.25">
      <c r="A11">
        <v>8</v>
      </c>
      <c r="B11">
        <v>8</v>
      </c>
      <c r="C11">
        <v>1</v>
      </c>
      <c r="D11" s="9">
        <v>0.4</v>
      </c>
      <c r="E11" s="45">
        <f t="shared" si="0"/>
        <v>40</v>
      </c>
      <c r="F11" s="9">
        <v>0.42</v>
      </c>
      <c r="G11" s="9">
        <f t="shared" si="1"/>
        <v>4.2</v>
      </c>
      <c r="H11" s="13">
        <v>34454</v>
      </c>
      <c r="I11" s="44">
        <f t="shared" si="2"/>
        <v>34.454000000000001</v>
      </c>
      <c r="J11" s="6">
        <v>7.34</v>
      </c>
    </row>
    <row r="12" spans="1:10" x14ac:dyDescent="0.25">
      <c r="A12">
        <v>9</v>
      </c>
      <c r="B12">
        <v>9</v>
      </c>
      <c r="C12">
        <v>1</v>
      </c>
      <c r="D12" s="9">
        <v>0.43</v>
      </c>
      <c r="E12" s="45">
        <f t="shared" si="0"/>
        <v>43</v>
      </c>
      <c r="F12" s="9">
        <v>0.48</v>
      </c>
      <c r="G12" s="9">
        <f t="shared" si="1"/>
        <v>4.8</v>
      </c>
      <c r="H12" s="13">
        <v>37342</v>
      </c>
      <c r="I12" s="44">
        <f t="shared" si="2"/>
        <v>37.341999999999999</v>
      </c>
      <c r="J12" s="6">
        <v>7.71</v>
      </c>
    </row>
    <row r="13" spans="1:10" x14ac:dyDescent="0.25">
      <c r="A13">
        <v>10</v>
      </c>
      <c r="B13">
        <v>8</v>
      </c>
      <c r="C13">
        <v>1</v>
      </c>
      <c r="D13" s="9">
        <v>0.45</v>
      </c>
      <c r="E13" s="45">
        <f t="shared" si="0"/>
        <v>45</v>
      </c>
      <c r="F13" s="9">
        <v>0.53</v>
      </c>
      <c r="G13" s="9">
        <f t="shared" si="1"/>
        <v>5.3000000000000007</v>
      </c>
      <c r="H13" s="13">
        <v>35330</v>
      </c>
      <c r="I13" s="44">
        <f t="shared" si="2"/>
        <v>35.33</v>
      </c>
      <c r="J13" s="6">
        <v>6.74</v>
      </c>
    </row>
    <row r="14" spans="1:10" x14ac:dyDescent="0.25">
      <c r="A14">
        <v>11</v>
      </c>
      <c r="B14">
        <v>9</v>
      </c>
      <c r="C14">
        <v>1</v>
      </c>
      <c r="D14" s="9">
        <v>0.48</v>
      </c>
      <c r="E14" s="45">
        <f t="shared" si="0"/>
        <v>48</v>
      </c>
      <c r="F14" s="9">
        <v>0.59</v>
      </c>
      <c r="G14" s="9">
        <f t="shared" si="1"/>
        <v>5.8999999999999995</v>
      </c>
      <c r="H14" s="13">
        <v>38218</v>
      </c>
      <c r="I14" s="44">
        <f t="shared" si="2"/>
        <v>38.218000000000004</v>
      </c>
      <c r="J14" s="6">
        <v>7.1</v>
      </c>
    </row>
    <row r="15" spans="1:10" x14ac:dyDescent="0.25">
      <c r="A15">
        <v>12</v>
      </c>
      <c r="B15">
        <v>10</v>
      </c>
      <c r="C15">
        <v>1</v>
      </c>
      <c r="D15" s="9">
        <v>0.5</v>
      </c>
      <c r="E15" s="45">
        <f t="shared" si="0"/>
        <v>50</v>
      </c>
      <c r="F15" s="9">
        <v>0.64</v>
      </c>
      <c r="G15" s="9">
        <f t="shared" si="1"/>
        <v>6.4</v>
      </c>
      <c r="H15" s="13">
        <v>41106</v>
      </c>
      <c r="I15" s="44">
        <f t="shared" si="2"/>
        <v>41.106000000000002</v>
      </c>
      <c r="J15" s="6">
        <v>7.47</v>
      </c>
    </row>
    <row r="16" spans="1:10" x14ac:dyDescent="0.25">
      <c r="A16">
        <v>13</v>
      </c>
      <c r="B16">
        <v>9</v>
      </c>
      <c r="C16">
        <v>1</v>
      </c>
      <c r="D16" s="9">
        <v>0.51</v>
      </c>
      <c r="E16" s="45">
        <f t="shared" si="0"/>
        <v>51</v>
      </c>
      <c r="F16" s="9">
        <v>0.7</v>
      </c>
      <c r="G16" s="9">
        <f t="shared" si="1"/>
        <v>7</v>
      </c>
      <c r="H16" s="13">
        <v>39094</v>
      </c>
      <c r="I16" s="44">
        <f t="shared" si="2"/>
        <v>39.094000000000001</v>
      </c>
      <c r="J16" s="6">
        <v>6.49</v>
      </c>
    </row>
    <row r="17" spans="1:10" x14ac:dyDescent="0.25">
      <c r="A17">
        <v>14</v>
      </c>
      <c r="B17">
        <v>10</v>
      </c>
      <c r="C17">
        <v>1</v>
      </c>
      <c r="D17" s="9">
        <v>0.53</v>
      </c>
      <c r="E17" s="45">
        <f t="shared" si="0"/>
        <v>53</v>
      </c>
      <c r="F17" s="9">
        <v>0.76</v>
      </c>
      <c r="G17" s="9">
        <f t="shared" si="1"/>
        <v>7.6</v>
      </c>
      <c r="H17" s="13">
        <v>41982</v>
      </c>
      <c r="I17" s="44">
        <f t="shared" si="2"/>
        <v>41.981999999999999</v>
      </c>
      <c r="J17" s="6">
        <v>6.86</v>
      </c>
    </row>
    <row r="18" spans="1:10" x14ac:dyDescent="0.25">
      <c r="A18">
        <v>15</v>
      </c>
      <c r="B18">
        <v>11</v>
      </c>
      <c r="C18">
        <v>1</v>
      </c>
      <c r="D18" s="9">
        <v>0.55000000000000004</v>
      </c>
      <c r="E18" s="45">
        <f t="shared" si="0"/>
        <v>55.000000000000007</v>
      </c>
      <c r="F18" s="9">
        <v>0.8</v>
      </c>
      <c r="G18" s="9">
        <f t="shared" si="1"/>
        <v>8</v>
      </c>
      <c r="H18" s="13">
        <v>44870</v>
      </c>
      <c r="I18" s="44">
        <f t="shared" si="2"/>
        <v>44.87</v>
      </c>
      <c r="J18" s="6">
        <v>7.23</v>
      </c>
    </row>
    <row r="19" spans="1:10" x14ac:dyDescent="0.25">
      <c r="A19">
        <v>17</v>
      </c>
      <c r="B19">
        <v>9</v>
      </c>
      <c r="C19">
        <v>1</v>
      </c>
      <c r="D19" s="9">
        <v>0.56000000000000005</v>
      </c>
      <c r="E19" s="45">
        <f t="shared" si="0"/>
        <v>56.000000000000007</v>
      </c>
      <c r="F19" s="9">
        <v>0.91</v>
      </c>
      <c r="G19" s="9">
        <f t="shared" si="1"/>
        <v>9.1</v>
      </c>
      <c r="H19" s="13">
        <v>40846</v>
      </c>
      <c r="I19" s="44">
        <f t="shared" si="2"/>
        <v>40.845999999999997</v>
      </c>
      <c r="J19" s="6">
        <v>5.26</v>
      </c>
    </row>
    <row r="20" spans="1:10" x14ac:dyDescent="0.25">
      <c r="A20">
        <v>18</v>
      </c>
      <c r="B20">
        <v>10</v>
      </c>
      <c r="C20">
        <v>1</v>
      </c>
      <c r="D20" s="9">
        <v>0.57999999999999996</v>
      </c>
      <c r="E20" s="45">
        <f t="shared" si="0"/>
        <v>57.999999999999993</v>
      </c>
      <c r="F20" s="9">
        <v>0.97</v>
      </c>
      <c r="G20" s="9">
        <f t="shared" si="1"/>
        <v>9.6999999999999993</v>
      </c>
      <c r="H20" s="13">
        <v>43734</v>
      </c>
      <c r="I20" s="44">
        <f t="shared" si="2"/>
        <v>43.734000000000002</v>
      </c>
      <c r="J20" s="6">
        <v>5.63</v>
      </c>
    </row>
    <row r="21" spans="1:10" x14ac:dyDescent="0.25">
      <c r="A21">
        <v>19</v>
      </c>
      <c r="B21">
        <v>10</v>
      </c>
      <c r="C21">
        <v>1</v>
      </c>
      <c r="D21" s="9">
        <v>0.59</v>
      </c>
      <c r="E21" s="45">
        <f t="shared" si="0"/>
        <v>59</v>
      </c>
      <c r="F21" s="9">
        <v>1.02</v>
      </c>
      <c r="G21" s="9">
        <f t="shared" si="1"/>
        <v>10.199999999999999</v>
      </c>
      <c r="H21" s="13">
        <v>44172</v>
      </c>
      <c r="I21" s="44">
        <f t="shared" si="2"/>
        <v>44.171999999999997</v>
      </c>
      <c r="J21" s="6">
        <v>5.48</v>
      </c>
    </row>
    <row r="22" spans="1:10" x14ac:dyDescent="0.25">
      <c r="A22">
        <v>20</v>
      </c>
      <c r="B22">
        <v>10</v>
      </c>
      <c r="C22">
        <v>1</v>
      </c>
      <c r="D22" s="9">
        <v>0.6</v>
      </c>
      <c r="E22" s="45">
        <f t="shared" si="0"/>
        <v>60</v>
      </c>
      <c r="F22" s="9">
        <v>1.08</v>
      </c>
      <c r="G22" s="9">
        <f t="shared" si="1"/>
        <v>10.8</v>
      </c>
      <c r="H22" s="13">
        <v>44610</v>
      </c>
      <c r="I22" s="44">
        <f t="shared" si="2"/>
        <v>44.61</v>
      </c>
      <c r="J22" s="6">
        <v>5.53</v>
      </c>
    </row>
    <row r="23" spans="1:10" x14ac:dyDescent="0.25">
      <c r="A23">
        <v>21</v>
      </c>
      <c r="B23">
        <v>10</v>
      </c>
      <c r="C23">
        <v>1</v>
      </c>
      <c r="D23" s="9">
        <v>0.61</v>
      </c>
      <c r="E23" s="45">
        <f t="shared" si="0"/>
        <v>61</v>
      </c>
      <c r="F23" s="9">
        <v>1.1299999999999999</v>
      </c>
      <c r="G23" s="9">
        <f t="shared" si="1"/>
        <v>11.299999999999999</v>
      </c>
      <c r="H23" s="13">
        <v>45048</v>
      </c>
      <c r="I23" s="44">
        <f t="shared" si="2"/>
        <v>45.048000000000002</v>
      </c>
      <c r="J23" s="6">
        <v>5.58</v>
      </c>
    </row>
    <row r="24" spans="1:10" x14ac:dyDescent="0.25">
      <c r="A24">
        <v>22</v>
      </c>
      <c r="B24">
        <v>10</v>
      </c>
      <c r="C24">
        <v>1</v>
      </c>
      <c r="D24" s="9">
        <v>0.62</v>
      </c>
      <c r="E24" s="45">
        <f t="shared" si="0"/>
        <v>62</v>
      </c>
      <c r="F24" s="9">
        <v>1.19</v>
      </c>
      <c r="G24" s="9">
        <f t="shared" si="1"/>
        <v>11.899999999999999</v>
      </c>
      <c r="H24" s="13">
        <v>45486</v>
      </c>
      <c r="I24" s="44">
        <f t="shared" si="2"/>
        <v>45.485999999999997</v>
      </c>
      <c r="J24" s="6">
        <v>5.62</v>
      </c>
    </row>
    <row r="25" spans="1:10" x14ac:dyDescent="0.25">
      <c r="A25">
        <v>23</v>
      </c>
      <c r="B25">
        <v>11</v>
      </c>
      <c r="C25">
        <v>1</v>
      </c>
      <c r="D25" s="9">
        <v>0.64</v>
      </c>
      <c r="E25" s="45">
        <f t="shared" si="0"/>
        <v>64</v>
      </c>
      <c r="F25" s="9">
        <v>1.24</v>
      </c>
      <c r="G25" s="9">
        <f t="shared" si="1"/>
        <v>12.4</v>
      </c>
      <c r="H25" s="13">
        <v>48374</v>
      </c>
      <c r="I25" s="44">
        <f t="shared" si="2"/>
        <v>48.374000000000002</v>
      </c>
      <c r="J25" s="6">
        <v>6.34</v>
      </c>
    </row>
    <row r="26" spans="1:10" x14ac:dyDescent="0.25">
      <c r="A26">
        <v>24</v>
      </c>
      <c r="B26">
        <v>12</v>
      </c>
      <c r="C26">
        <v>1</v>
      </c>
      <c r="D26" s="9">
        <v>0.65</v>
      </c>
      <c r="E26" s="45">
        <f t="shared" si="0"/>
        <v>65</v>
      </c>
      <c r="F26" s="9">
        <v>1.3</v>
      </c>
      <c r="G26" s="9">
        <f t="shared" si="1"/>
        <v>13</v>
      </c>
      <c r="H26" s="13">
        <v>51262</v>
      </c>
      <c r="I26" s="44">
        <f t="shared" si="2"/>
        <v>51.262</v>
      </c>
      <c r="J26" s="6">
        <v>7.06</v>
      </c>
    </row>
    <row r="27" spans="1:10" x14ac:dyDescent="0.25">
      <c r="A27">
        <v>25</v>
      </c>
      <c r="B27">
        <v>12</v>
      </c>
      <c r="C27">
        <v>1</v>
      </c>
      <c r="D27" s="9">
        <v>0.66</v>
      </c>
      <c r="E27" s="45">
        <f t="shared" si="0"/>
        <v>66</v>
      </c>
      <c r="F27" s="9">
        <v>1.35</v>
      </c>
      <c r="G27" s="9">
        <f t="shared" si="1"/>
        <v>13.5</v>
      </c>
      <c r="H27" s="13">
        <v>51700</v>
      </c>
      <c r="I27" s="44">
        <f t="shared" si="2"/>
        <v>51.7</v>
      </c>
      <c r="J27" s="6">
        <v>7.11</v>
      </c>
    </row>
    <row r="28" spans="1:10" x14ac:dyDescent="0.25">
      <c r="A28">
        <v>26</v>
      </c>
      <c r="B28">
        <v>12</v>
      </c>
      <c r="C28">
        <v>1</v>
      </c>
      <c r="D28" s="9">
        <v>0.67</v>
      </c>
      <c r="E28" s="45">
        <f t="shared" si="0"/>
        <v>67</v>
      </c>
      <c r="F28" s="9">
        <v>1.41</v>
      </c>
      <c r="G28" s="9">
        <f t="shared" si="1"/>
        <v>14.1</v>
      </c>
      <c r="H28" s="13">
        <v>52138</v>
      </c>
      <c r="I28" s="44">
        <f t="shared" si="2"/>
        <v>52.137999999999998</v>
      </c>
      <c r="J28" s="6">
        <v>7.16</v>
      </c>
    </row>
    <row r="29" spans="1:10" x14ac:dyDescent="0.25">
      <c r="A29">
        <v>27</v>
      </c>
      <c r="B29">
        <v>13</v>
      </c>
      <c r="C29">
        <v>1</v>
      </c>
      <c r="D29" s="9">
        <v>0.68</v>
      </c>
      <c r="E29" s="45">
        <f t="shared" si="0"/>
        <v>68</v>
      </c>
      <c r="F29" s="9">
        <v>1.46</v>
      </c>
      <c r="G29" s="9">
        <f t="shared" si="1"/>
        <v>14.6</v>
      </c>
      <c r="H29" s="13">
        <v>55026</v>
      </c>
      <c r="I29" s="44">
        <f t="shared" si="2"/>
        <v>55.026000000000003</v>
      </c>
      <c r="J29" s="6">
        <v>7.88</v>
      </c>
    </row>
    <row r="30" spans="1:10" x14ac:dyDescent="0.25">
      <c r="A30">
        <v>28</v>
      </c>
      <c r="B30">
        <v>13</v>
      </c>
      <c r="C30">
        <v>1</v>
      </c>
      <c r="D30" s="9">
        <v>0.69</v>
      </c>
      <c r="E30" s="45">
        <f t="shared" si="0"/>
        <v>69</v>
      </c>
      <c r="F30" s="9">
        <v>1.52</v>
      </c>
      <c r="G30" s="9">
        <f t="shared" si="1"/>
        <v>15.2</v>
      </c>
      <c r="H30" s="13">
        <v>55464</v>
      </c>
      <c r="I30" s="44">
        <f t="shared" si="2"/>
        <v>55.463999999999999</v>
      </c>
      <c r="J30" s="6">
        <v>7.92</v>
      </c>
    </row>
    <row r="31" spans="1:10" x14ac:dyDescent="0.25">
      <c r="A31">
        <v>29</v>
      </c>
      <c r="B31">
        <v>13</v>
      </c>
      <c r="C31">
        <v>1</v>
      </c>
      <c r="D31" s="9">
        <v>0.7</v>
      </c>
      <c r="E31" s="45">
        <f t="shared" si="0"/>
        <v>70</v>
      </c>
      <c r="F31" s="9">
        <v>1.57</v>
      </c>
      <c r="G31" s="9">
        <f t="shared" si="1"/>
        <v>15.700000000000001</v>
      </c>
      <c r="H31" s="13">
        <v>55902</v>
      </c>
      <c r="I31" s="44">
        <f t="shared" si="2"/>
        <v>55.902000000000001</v>
      </c>
      <c r="J31" s="6">
        <v>7.97</v>
      </c>
    </row>
    <row r="32" spans="1:10" x14ac:dyDescent="0.25">
      <c r="A32">
        <v>30</v>
      </c>
      <c r="B32">
        <v>14</v>
      </c>
      <c r="C32">
        <v>1</v>
      </c>
      <c r="D32" s="9">
        <v>0.71</v>
      </c>
      <c r="E32" s="45">
        <f t="shared" si="0"/>
        <v>71</v>
      </c>
      <c r="F32" s="9">
        <v>1.63</v>
      </c>
      <c r="G32" s="9">
        <f t="shared" si="1"/>
        <v>16.299999999999997</v>
      </c>
      <c r="H32" s="13">
        <v>58790</v>
      </c>
      <c r="I32" s="44">
        <f t="shared" si="2"/>
        <v>58.79</v>
      </c>
      <c r="J32" s="6">
        <v>8.69</v>
      </c>
    </row>
    <row r="33" spans="1:10" x14ac:dyDescent="0.25">
      <c r="A33">
        <v>31</v>
      </c>
      <c r="B33">
        <v>14</v>
      </c>
      <c r="C33">
        <v>1</v>
      </c>
      <c r="D33" s="9">
        <v>0.72</v>
      </c>
      <c r="E33" s="45">
        <f t="shared" si="0"/>
        <v>72</v>
      </c>
      <c r="F33" s="9">
        <v>1.68</v>
      </c>
      <c r="G33" s="9">
        <f t="shared" si="1"/>
        <v>16.8</v>
      </c>
      <c r="H33" s="13">
        <v>59228</v>
      </c>
      <c r="I33" s="44">
        <f t="shared" si="2"/>
        <v>59.228000000000002</v>
      </c>
      <c r="J33" s="6">
        <v>8.74</v>
      </c>
    </row>
    <row r="34" spans="1:10" x14ac:dyDescent="0.25">
      <c r="A34">
        <v>32</v>
      </c>
      <c r="B34">
        <v>14</v>
      </c>
      <c r="C34">
        <v>1</v>
      </c>
      <c r="D34" s="9">
        <v>0.73</v>
      </c>
      <c r="E34" s="45">
        <f t="shared" si="0"/>
        <v>73</v>
      </c>
      <c r="F34" s="9">
        <v>1.74</v>
      </c>
      <c r="G34" s="9">
        <f t="shared" si="1"/>
        <v>17.399999999999999</v>
      </c>
      <c r="H34" s="13">
        <v>59666</v>
      </c>
      <c r="I34" s="44">
        <f t="shared" si="2"/>
        <v>59.665999999999997</v>
      </c>
      <c r="J34" s="6">
        <v>8.7899999999999991</v>
      </c>
    </row>
    <row r="35" spans="1:10" x14ac:dyDescent="0.25">
      <c r="A35">
        <v>34</v>
      </c>
      <c r="B35">
        <v>14</v>
      </c>
      <c r="C35">
        <v>1</v>
      </c>
      <c r="D35" s="9">
        <v>0.74</v>
      </c>
      <c r="E35" s="45">
        <f t="shared" si="0"/>
        <v>74</v>
      </c>
      <c r="F35" s="9">
        <v>1.85</v>
      </c>
      <c r="G35" s="9">
        <f t="shared" si="1"/>
        <v>18.5</v>
      </c>
      <c r="H35" s="13">
        <v>60542</v>
      </c>
      <c r="I35" s="44">
        <f t="shared" si="2"/>
        <v>60.542000000000002</v>
      </c>
      <c r="J35" s="6">
        <v>8.8800000000000008</v>
      </c>
    </row>
    <row r="36" spans="1:10" x14ac:dyDescent="0.25">
      <c r="A36">
        <v>35</v>
      </c>
      <c r="B36">
        <v>14</v>
      </c>
      <c r="C36">
        <v>1</v>
      </c>
      <c r="D36" s="9">
        <v>0.75</v>
      </c>
      <c r="E36" s="45">
        <f t="shared" si="0"/>
        <v>75</v>
      </c>
      <c r="F36" s="9">
        <v>1.9</v>
      </c>
      <c r="G36" s="9">
        <f t="shared" si="1"/>
        <v>19</v>
      </c>
      <c r="H36" s="13">
        <v>60980</v>
      </c>
      <c r="I36" s="44">
        <f t="shared" si="2"/>
        <v>60.98</v>
      </c>
      <c r="J36" s="6">
        <v>8.93</v>
      </c>
    </row>
    <row r="37" spans="1:10" x14ac:dyDescent="0.25">
      <c r="A37">
        <v>36</v>
      </c>
      <c r="B37">
        <v>14</v>
      </c>
      <c r="C37">
        <v>1</v>
      </c>
      <c r="D37" s="9">
        <v>0.76</v>
      </c>
      <c r="E37" s="45">
        <f t="shared" si="0"/>
        <v>76</v>
      </c>
      <c r="F37" s="9">
        <v>1.96</v>
      </c>
      <c r="G37" s="9">
        <f t="shared" si="1"/>
        <v>19.600000000000001</v>
      </c>
      <c r="H37" s="13">
        <v>61418</v>
      </c>
      <c r="I37" s="44">
        <f t="shared" si="2"/>
        <v>61.417999999999999</v>
      </c>
      <c r="J37" s="6">
        <v>8.98</v>
      </c>
    </row>
    <row r="38" spans="1:10" x14ac:dyDescent="0.25">
      <c r="A38">
        <v>37</v>
      </c>
      <c r="B38">
        <v>15</v>
      </c>
      <c r="C38">
        <v>2</v>
      </c>
      <c r="D38" s="9">
        <v>0.77</v>
      </c>
      <c r="E38" s="45">
        <f t="shared" si="0"/>
        <v>77</v>
      </c>
      <c r="F38" s="9">
        <v>2.0099999999999998</v>
      </c>
      <c r="G38" s="9">
        <f t="shared" si="1"/>
        <v>20.099999999999998</v>
      </c>
      <c r="H38" s="13">
        <v>71206</v>
      </c>
      <c r="I38" s="44">
        <f t="shared" si="2"/>
        <v>71.206000000000003</v>
      </c>
      <c r="J38" s="6">
        <v>11.59</v>
      </c>
    </row>
    <row r="39" spans="1:10" x14ac:dyDescent="0.25">
      <c r="A39">
        <v>39</v>
      </c>
      <c r="B39">
        <v>15</v>
      </c>
      <c r="C39">
        <v>2</v>
      </c>
      <c r="D39" s="9">
        <v>0.78</v>
      </c>
      <c r="E39" s="45">
        <f t="shared" si="0"/>
        <v>78</v>
      </c>
      <c r="F39" s="9">
        <v>2.12</v>
      </c>
      <c r="G39" s="9">
        <f t="shared" si="1"/>
        <v>21.200000000000003</v>
      </c>
      <c r="H39" s="13">
        <v>72082</v>
      </c>
      <c r="I39" s="44">
        <f t="shared" si="2"/>
        <v>72.081999999999994</v>
      </c>
      <c r="J39" s="6">
        <v>11.69</v>
      </c>
    </row>
    <row r="40" spans="1:10" x14ac:dyDescent="0.25">
      <c r="A40">
        <v>40</v>
      </c>
      <c r="B40">
        <v>15</v>
      </c>
      <c r="C40">
        <v>2</v>
      </c>
      <c r="D40" s="9">
        <v>0.79</v>
      </c>
      <c r="E40" s="45">
        <f t="shared" si="0"/>
        <v>79</v>
      </c>
      <c r="F40" s="9">
        <v>2.1800000000000002</v>
      </c>
      <c r="G40" s="9">
        <f t="shared" si="1"/>
        <v>21.8</v>
      </c>
      <c r="H40" s="13">
        <v>72520</v>
      </c>
      <c r="I40" s="44">
        <f t="shared" si="2"/>
        <v>72.52</v>
      </c>
      <c r="J40" s="6">
        <v>11.73</v>
      </c>
    </row>
    <row r="41" spans="1:10" x14ac:dyDescent="0.25">
      <c r="A41">
        <v>41</v>
      </c>
      <c r="B41">
        <v>15</v>
      </c>
      <c r="C41">
        <v>2</v>
      </c>
      <c r="D41" s="9">
        <v>0.8</v>
      </c>
      <c r="E41" s="45">
        <f t="shared" si="0"/>
        <v>80</v>
      </c>
      <c r="F41" s="9">
        <v>2.2400000000000002</v>
      </c>
      <c r="G41" s="9">
        <f t="shared" si="1"/>
        <v>22.400000000000002</v>
      </c>
      <c r="H41" s="13">
        <v>72958</v>
      </c>
      <c r="I41" s="44">
        <f t="shared" si="2"/>
        <v>72.957999999999998</v>
      </c>
      <c r="J41" s="6">
        <v>11.78</v>
      </c>
    </row>
    <row r="42" spans="1:10" x14ac:dyDescent="0.25">
      <c r="A42">
        <v>43</v>
      </c>
      <c r="B42">
        <v>15</v>
      </c>
      <c r="C42">
        <v>2</v>
      </c>
      <c r="D42" s="9">
        <v>0.80999999999999994</v>
      </c>
      <c r="E42" s="45">
        <f t="shared" si="0"/>
        <v>81</v>
      </c>
      <c r="F42" s="9">
        <v>2.35</v>
      </c>
      <c r="G42" s="9">
        <f t="shared" si="1"/>
        <v>23.5</v>
      </c>
      <c r="H42" s="13">
        <v>73834</v>
      </c>
      <c r="I42" s="44">
        <f t="shared" si="2"/>
        <v>73.834000000000003</v>
      </c>
      <c r="J42" s="6">
        <v>11.88</v>
      </c>
    </row>
    <row r="43" spans="1:10" x14ac:dyDescent="0.25">
      <c r="A43">
        <v>44</v>
      </c>
      <c r="B43">
        <v>15</v>
      </c>
      <c r="C43">
        <v>2</v>
      </c>
      <c r="D43" s="9">
        <v>0.82</v>
      </c>
      <c r="E43" s="45">
        <f t="shared" si="0"/>
        <v>82</v>
      </c>
      <c r="F43" s="9">
        <v>2.4</v>
      </c>
      <c r="G43" s="9">
        <f t="shared" si="1"/>
        <v>24</v>
      </c>
      <c r="H43" s="13">
        <v>74272</v>
      </c>
      <c r="I43" s="44">
        <f t="shared" si="2"/>
        <v>74.272000000000006</v>
      </c>
      <c r="J43" s="6">
        <v>11.93</v>
      </c>
    </row>
    <row r="44" spans="1:10" x14ac:dyDescent="0.25">
      <c r="A44">
        <v>45</v>
      </c>
      <c r="B44">
        <v>16</v>
      </c>
      <c r="C44">
        <v>2</v>
      </c>
      <c r="D44" s="9">
        <v>0.83</v>
      </c>
      <c r="E44" s="45">
        <f t="shared" si="0"/>
        <v>83</v>
      </c>
      <c r="F44" s="9">
        <v>2.46</v>
      </c>
      <c r="G44" s="9">
        <f t="shared" si="1"/>
        <v>24.6</v>
      </c>
      <c r="H44" s="13">
        <v>77160</v>
      </c>
      <c r="I44" s="44">
        <f t="shared" si="2"/>
        <v>77.16</v>
      </c>
      <c r="J44" s="6">
        <v>12.64</v>
      </c>
    </row>
    <row r="45" spans="1:10" x14ac:dyDescent="0.25">
      <c r="A45">
        <v>47</v>
      </c>
      <c r="B45">
        <v>16</v>
      </c>
      <c r="C45">
        <v>2</v>
      </c>
      <c r="D45" s="9">
        <v>0.84</v>
      </c>
      <c r="E45" s="45">
        <f t="shared" si="0"/>
        <v>84</v>
      </c>
      <c r="F45" s="9">
        <v>2.57</v>
      </c>
      <c r="G45" s="9">
        <f t="shared" si="1"/>
        <v>25.7</v>
      </c>
      <c r="H45" s="13">
        <v>78036</v>
      </c>
      <c r="I45" s="44">
        <f t="shared" si="2"/>
        <v>78.036000000000001</v>
      </c>
      <c r="J45" s="6">
        <v>12.74</v>
      </c>
    </row>
    <row r="46" spans="1:10" x14ac:dyDescent="0.25">
      <c r="A46">
        <v>48</v>
      </c>
      <c r="B46">
        <v>17</v>
      </c>
      <c r="C46">
        <v>2</v>
      </c>
      <c r="D46" s="9">
        <v>0.85</v>
      </c>
      <c r="E46" s="45">
        <f t="shared" si="0"/>
        <v>85</v>
      </c>
      <c r="F46" s="9">
        <v>2.62</v>
      </c>
      <c r="G46" s="9">
        <f t="shared" si="1"/>
        <v>26.200000000000003</v>
      </c>
      <c r="H46" s="13">
        <v>80924</v>
      </c>
      <c r="I46" s="44">
        <f t="shared" si="2"/>
        <v>80.924000000000007</v>
      </c>
      <c r="J46" s="6">
        <v>13.46</v>
      </c>
    </row>
    <row r="47" spans="1:10" x14ac:dyDescent="0.25">
      <c r="A47">
        <v>49</v>
      </c>
      <c r="B47">
        <v>17</v>
      </c>
      <c r="C47">
        <v>2</v>
      </c>
      <c r="D47" s="9">
        <v>0.86</v>
      </c>
      <c r="E47" s="45">
        <f t="shared" si="0"/>
        <v>86</v>
      </c>
      <c r="F47" s="9">
        <v>2.68</v>
      </c>
      <c r="G47" s="9">
        <f t="shared" si="1"/>
        <v>26.8</v>
      </c>
      <c r="H47" s="13">
        <v>81362</v>
      </c>
      <c r="I47" s="44">
        <f t="shared" si="2"/>
        <v>81.361999999999995</v>
      </c>
      <c r="J47" s="6">
        <v>13.51</v>
      </c>
    </row>
    <row r="48" spans="1:10" x14ac:dyDescent="0.25">
      <c r="A48">
        <v>50</v>
      </c>
      <c r="B48">
        <v>18</v>
      </c>
      <c r="C48">
        <v>2</v>
      </c>
      <c r="D48" s="9">
        <v>0.87</v>
      </c>
      <c r="E48" s="45">
        <f t="shared" si="0"/>
        <v>87</v>
      </c>
      <c r="F48" s="9">
        <v>2.73</v>
      </c>
      <c r="G48" s="9">
        <f t="shared" si="1"/>
        <v>27.3</v>
      </c>
      <c r="H48" s="13">
        <v>84250</v>
      </c>
      <c r="I48" s="44">
        <f t="shared" si="2"/>
        <v>84.25</v>
      </c>
      <c r="J48" s="6">
        <v>14.23</v>
      </c>
    </row>
    <row r="49" spans="1:10" x14ac:dyDescent="0.25">
      <c r="A49">
        <v>52</v>
      </c>
      <c r="B49">
        <v>18</v>
      </c>
      <c r="C49">
        <v>2</v>
      </c>
      <c r="D49" s="9">
        <v>0.88</v>
      </c>
      <c r="E49" s="45">
        <f t="shared" si="0"/>
        <v>88</v>
      </c>
      <c r="F49" s="9">
        <v>2.84</v>
      </c>
      <c r="G49" s="9">
        <f t="shared" si="1"/>
        <v>28.4</v>
      </c>
      <c r="H49" s="13">
        <v>85126</v>
      </c>
      <c r="I49" s="44">
        <f t="shared" si="2"/>
        <v>85.126000000000005</v>
      </c>
      <c r="J49" s="6">
        <v>14.32</v>
      </c>
    </row>
    <row r="50" spans="1:10" x14ac:dyDescent="0.25">
      <c r="A50">
        <v>53</v>
      </c>
      <c r="B50">
        <v>19</v>
      </c>
      <c r="C50">
        <v>2</v>
      </c>
      <c r="D50" s="9">
        <v>0.89</v>
      </c>
      <c r="E50" s="45">
        <f t="shared" si="0"/>
        <v>89</v>
      </c>
      <c r="F50" s="9">
        <v>2.9</v>
      </c>
      <c r="G50" s="9">
        <f t="shared" si="1"/>
        <v>29</v>
      </c>
      <c r="H50" s="13">
        <v>88014</v>
      </c>
      <c r="I50" s="44">
        <f t="shared" si="2"/>
        <v>88.013999999999996</v>
      </c>
      <c r="J50" s="6">
        <v>15.04</v>
      </c>
    </row>
    <row r="51" spans="1:10" x14ac:dyDescent="0.25">
      <c r="A51">
        <v>55</v>
      </c>
      <c r="B51">
        <v>19</v>
      </c>
      <c r="C51">
        <v>2</v>
      </c>
      <c r="D51" s="9">
        <v>0.9</v>
      </c>
      <c r="E51" s="45">
        <f t="shared" si="0"/>
        <v>90</v>
      </c>
      <c r="F51" s="9">
        <v>3</v>
      </c>
      <c r="G51" s="9">
        <f t="shared" si="1"/>
        <v>30</v>
      </c>
      <c r="H51" s="13">
        <v>88890</v>
      </c>
      <c r="I51" s="44">
        <f t="shared" si="2"/>
        <v>88.89</v>
      </c>
      <c r="J51" s="6">
        <v>15.14</v>
      </c>
    </row>
    <row r="52" spans="1:10" x14ac:dyDescent="0.25">
      <c r="A52">
        <v>58</v>
      </c>
      <c r="B52">
        <v>19</v>
      </c>
      <c r="C52">
        <v>2</v>
      </c>
      <c r="D52" s="9">
        <v>0.90999999999999992</v>
      </c>
      <c r="E52" s="45">
        <f t="shared" si="0"/>
        <v>90.999999999999986</v>
      </c>
      <c r="F52" s="9">
        <v>3.17</v>
      </c>
      <c r="G52" s="9">
        <f t="shared" si="1"/>
        <v>31.7</v>
      </c>
      <c r="H52" s="13">
        <v>90204</v>
      </c>
      <c r="I52" s="44">
        <f t="shared" si="2"/>
        <v>90.203999999999994</v>
      </c>
      <c r="J52" s="6">
        <v>15.28</v>
      </c>
    </row>
    <row r="53" spans="1:10" x14ac:dyDescent="0.25">
      <c r="A53">
        <v>61</v>
      </c>
      <c r="B53">
        <v>19</v>
      </c>
      <c r="C53">
        <v>2</v>
      </c>
      <c r="D53" s="9">
        <v>0.91999999999999993</v>
      </c>
      <c r="E53" s="45">
        <f t="shared" si="0"/>
        <v>92</v>
      </c>
      <c r="F53" s="9">
        <v>3.34</v>
      </c>
      <c r="G53" s="9">
        <f t="shared" si="1"/>
        <v>33.4</v>
      </c>
      <c r="H53" s="13">
        <v>91518</v>
      </c>
      <c r="I53" s="44">
        <f t="shared" si="2"/>
        <v>91.518000000000001</v>
      </c>
      <c r="J53" s="6">
        <v>15.43</v>
      </c>
    </row>
    <row r="54" spans="1:10" x14ac:dyDescent="0.25">
      <c r="A54">
        <v>64</v>
      </c>
      <c r="B54">
        <v>19</v>
      </c>
      <c r="C54">
        <v>2</v>
      </c>
      <c r="D54" s="9">
        <v>0.92999999999999994</v>
      </c>
      <c r="E54" s="45">
        <f t="shared" si="0"/>
        <v>93</v>
      </c>
      <c r="F54" s="9">
        <v>3.51</v>
      </c>
      <c r="G54" s="9">
        <f t="shared" si="1"/>
        <v>35.099999999999994</v>
      </c>
      <c r="H54" s="13">
        <v>92832</v>
      </c>
      <c r="I54" s="44">
        <f t="shared" si="2"/>
        <v>92.831999999999994</v>
      </c>
      <c r="J54" s="6">
        <v>15.57</v>
      </c>
    </row>
    <row r="55" spans="1:10" x14ac:dyDescent="0.25">
      <c r="A55">
        <v>67</v>
      </c>
      <c r="B55">
        <v>19</v>
      </c>
      <c r="C55">
        <v>2</v>
      </c>
      <c r="D55" s="9">
        <v>0.94</v>
      </c>
      <c r="E55" s="45">
        <f t="shared" si="0"/>
        <v>94</v>
      </c>
      <c r="F55" s="9">
        <v>3.67</v>
      </c>
      <c r="G55" s="9">
        <f t="shared" si="1"/>
        <v>36.700000000000003</v>
      </c>
      <c r="H55" s="13">
        <v>94146</v>
      </c>
      <c r="I55" s="44">
        <f t="shared" si="2"/>
        <v>94.146000000000001</v>
      </c>
      <c r="J55" s="6">
        <v>15.71</v>
      </c>
    </row>
    <row r="56" spans="1:10" x14ac:dyDescent="0.25">
      <c r="A56">
        <v>70</v>
      </c>
      <c r="B56">
        <v>19</v>
      </c>
      <c r="C56">
        <v>2</v>
      </c>
      <c r="D56" s="9">
        <v>0.95</v>
      </c>
      <c r="E56" s="45">
        <f t="shared" si="0"/>
        <v>95</v>
      </c>
      <c r="F56" s="9">
        <v>3.84</v>
      </c>
      <c r="G56" s="9">
        <f t="shared" si="1"/>
        <v>38.4</v>
      </c>
      <c r="H56" s="13">
        <v>95460</v>
      </c>
      <c r="I56" s="44">
        <f t="shared" si="2"/>
        <v>95.46</v>
      </c>
      <c r="J56" s="6">
        <v>15.86</v>
      </c>
    </row>
    <row r="57" spans="1:10" x14ac:dyDescent="0.25">
      <c r="A57">
        <v>73</v>
      </c>
      <c r="B57">
        <v>20</v>
      </c>
      <c r="C57">
        <v>3</v>
      </c>
      <c r="D57" s="9">
        <v>0.96</v>
      </c>
      <c r="E57" s="45">
        <f t="shared" si="0"/>
        <v>96</v>
      </c>
      <c r="F57" s="9">
        <v>4</v>
      </c>
      <c r="G57" s="9">
        <f t="shared" si="1"/>
        <v>40</v>
      </c>
      <c r="H57" s="13">
        <v>106124</v>
      </c>
      <c r="I57" s="44">
        <f t="shared" si="2"/>
        <v>106.124</v>
      </c>
      <c r="J57" s="6">
        <v>18.559999999999999</v>
      </c>
    </row>
    <row r="58" spans="1:10" x14ac:dyDescent="0.25">
      <c r="A58">
        <v>78</v>
      </c>
      <c r="B58">
        <v>20</v>
      </c>
      <c r="C58">
        <v>3</v>
      </c>
      <c r="D58" s="9">
        <v>0.97</v>
      </c>
      <c r="E58" s="45">
        <f t="shared" si="0"/>
        <v>97</v>
      </c>
      <c r="F58" s="9">
        <v>4.28</v>
      </c>
      <c r="G58" s="9">
        <f t="shared" si="1"/>
        <v>42.800000000000004</v>
      </c>
      <c r="H58" s="13">
        <v>108314</v>
      </c>
      <c r="I58" s="44">
        <f t="shared" si="2"/>
        <v>108.31399999999999</v>
      </c>
      <c r="J58" s="6">
        <v>18.8</v>
      </c>
    </row>
    <row r="59" spans="1:10" x14ac:dyDescent="0.25">
      <c r="A59">
        <v>85</v>
      </c>
      <c r="B59">
        <v>20</v>
      </c>
      <c r="C59">
        <v>3</v>
      </c>
      <c r="D59" s="9">
        <v>0.98</v>
      </c>
      <c r="E59" s="45">
        <f t="shared" si="0"/>
        <v>98</v>
      </c>
      <c r="F59" s="9">
        <v>4.67</v>
      </c>
      <c r="G59" s="9">
        <f t="shared" si="1"/>
        <v>46.7</v>
      </c>
      <c r="H59" s="13">
        <v>111380</v>
      </c>
      <c r="I59" s="44">
        <f t="shared" si="2"/>
        <v>111.38</v>
      </c>
      <c r="J59" s="6">
        <v>19.14</v>
      </c>
    </row>
    <row r="60" spans="1:10" x14ac:dyDescent="0.25">
      <c r="A60">
        <v>87</v>
      </c>
      <c r="B60">
        <v>21</v>
      </c>
      <c r="C60">
        <v>3</v>
      </c>
      <c r="D60" s="9">
        <v>0.99</v>
      </c>
      <c r="E60" s="45">
        <f t="shared" si="0"/>
        <v>99</v>
      </c>
      <c r="F60" s="9">
        <v>4.78</v>
      </c>
      <c r="G60" s="9">
        <f t="shared" si="1"/>
        <v>47.800000000000004</v>
      </c>
      <c r="H60" s="13">
        <v>114706</v>
      </c>
      <c r="I60" s="44">
        <f t="shared" si="2"/>
        <v>114.706</v>
      </c>
      <c r="J60" s="6">
        <v>19.91</v>
      </c>
    </row>
    <row r="61" spans="1:10" x14ac:dyDescent="0.25">
      <c r="A61">
        <v>93</v>
      </c>
      <c r="B61">
        <v>22</v>
      </c>
      <c r="C61">
        <v>3</v>
      </c>
      <c r="D61" s="9">
        <v>1</v>
      </c>
      <c r="E61" s="45">
        <f t="shared" si="0"/>
        <v>100</v>
      </c>
      <c r="F61" s="9">
        <v>5.1100000000000003</v>
      </c>
      <c r="G61" s="9">
        <f t="shared" si="1"/>
        <v>51.1</v>
      </c>
      <c r="H61" s="13">
        <v>119784</v>
      </c>
      <c r="I61" s="44">
        <f t="shared" si="2"/>
        <v>119.78400000000001</v>
      </c>
      <c r="J61" s="6">
        <v>20.87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Charts</vt:lpstr>
      </vt:variant>
      <vt:variant>
        <vt:i4>5</vt:i4>
      </vt:variant>
    </vt:vector>
  </HeadingPairs>
  <TitlesOfParts>
    <vt:vector size="10" baseType="lpstr">
      <vt:lpstr>electric data</vt:lpstr>
      <vt:lpstr>gas data</vt:lpstr>
      <vt:lpstr>scenario chart</vt:lpstr>
      <vt:lpstr>scenario data</vt:lpstr>
      <vt:lpstr>sizing data</vt:lpstr>
      <vt:lpstr>old electric use chart</vt:lpstr>
      <vt:lpstr>gas usage chart</vt:lpstr>
      <vt:lpstr>cost per therm chart</vt:lpstr>
      <vt:lpstr>new electric use chart</vt:lpstr>
      <vt:lpstr>sizing chart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Jones</dc:creator>
  <cp:lastModifiedBy>Chris Jones</cp:lastModifiedBy>
  <dcterms:created xsi:type="dcterms:W3CDTF">2021-12-19T05:40:18Z</dcterms:created>
  <dcterms:modified xsi:type="dcterms:W3CDTF">2022-01-14T06:42:45Z</dcterms:modified>
</cp:coreProperties>
</file>