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www\thjmedia\blog\posts\Backpacking\"/>
    </mc:Choice>
  </mc:AlternateContent>
  <xr:revisionPtr revIDLastSave="0" documentId="13_ncr:1_{73B9CDCD-6615-4AEA-9DB5-83E60C6887A5}" xr6:coauthVersionLast="47" xr6:coauthVersionMax="47" xr10:uidLastSave="{00000000-0000-0000-0000-000000000000}"/>
  <bookViews>
    <workbookView xWindow="-96" yWindow="-96" windowWidth="23232" windowHeight="12432" tabRatio="959" activeTab="1" xr2:uid="{00000000-000D-0000-FFFF-FFFF00000000}"/>
  </bookViews>
  <sheets>
    <sheet name="weight pie chart" sheetId="7" r:id="rId1"/>
    <sheet name="minimial summer list" sheetId="2" r:id="rId2"/>
    <sheet name="pie chart data" sheetId="6" r:id="rId3"/>
    <sheet name="optional" sheetId="3" r:id="rId4"/>
    <sheet name="preparation" sheetId="4" r:id="rId5"/>
    <sheet name="Grand Canyon May 2023" sheetId="5" r:id="rId6"/>
  </sheets>
  <definedNames>
    <definedName name="_xlnm._FilterDatabase" localSheetId="1" hidden="1">'minimial summer list'!$A$6:$G$82</definedName>
    <definedName name="_xlnm._FilterDatabase" localSheetId="2" hidden="1">'pie chart data'!$A$6:$C$22</definedName>
    <definedName name="Excel_BuiltIn_Print_Area" localSheetId="1">'minimial summer list'!$E$1:$E$82</definedName>
    <definedName name="Excel_BuiltIn_Print_Area" localSheetId="2">'pie chart data'!$B$1:$B$22</definedName>
    <definedName name="_xlnm.Print_Area" localSheetId="1">'minimial summer list'!$E$1:$E$79</definedName>
    <definedName name="_xlnm.Print_Area" localSheetId="2">'pie chart data'!$B$1:$B$22</definedName>
  </definedNames>
  <calcPr calcId="191029"/>
</workbook>
</file>

<file path=xl/calcChain.xml><?xml version="1.0" encoding="utf-8"?>
<calcChain xmlns="http://schemas.openxmlformats.org/spreadsheetml/2006/main">
  <c r="F4" i="2" l="1"/>
  <c r="F39" i="2"/>
  <c r="C10" i="6" l="1"/>
  <c r="C21" i="6"/>
  <c r="C18" i="6"/>
  <c r="C19" i="6"/>
  <c r="C12" i="6"/>
  <c r="C15" i="6"/>
  <c r="C8" i="6"/>
  <c r="C20" i="6"/>
  <c r="C13" i="6"/>
  <c r="C14" i="6"/>
  <c r="C9" i="6"/>
  <c r="C16" i="6"/>
  <c r="F82" i="2"/>
  <c r="F81" i="2"/>
  <c r="F80" i="2"/>
  <c r="F79" i="2"/>
  <c r="F78" i="2"/>
  <c r="F77" i="2"/>
  <c r="F76" i="2"/>
  <c r="F75" i="2"/>
  <c r="F74" i="2"/>
  <c r="F73" i="2"/>
  <c r="F72" i="2"/>
  <c r="F71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8" i="2"/>
  <c r="F37" i="2"/>
  <c r="F36" i="2"/>
  <c r="F20" i="2"/>
  <c r="F17" i="2"/>
  <c r="F16" i="2"/>
  <c r="F14" i="2"/>
  <c r="F13" i="2"/>
  <c r="F12" i="2"/>
  <c r="F10" i="2"/>
  <c r="F56" i="2"/>
  <c r="F55" i="2"/>
  <c r="F70" i="2"/>
  <c r="C2" i="6" l="1"/>
  <c r="F2" i="2"/>
</calcChain>
</file>

<file path=xl/sharedStrings.xml><?xml version="1.0" encoding="utf-8"?>
<sst xmlns="http://schemas.openxmlformats.org/spreadsheetml/2006/main" count="354" uniqueCount="279">
  <si>
    <t>sun hat</t>
  </si>
  <si>
    <t>sleeping bag in stuff sack</t>
  </si>
  <si>
    <t>backpack</t>
  </si>
  <si>
    <t>Goretex jacket with hood</t>
  </si>
  <si>
    <t>Goretex pants</t>
  </si>
  <si>
    <t>day pack</t>
  </si>
  <si>
    <t>long sleeve capilene shirt</t>
  </si>
  <si>
    <t>insulated cup with lid and French press</t>
  </si>
  <si>
    <t>long capilene pants</t>
  </si>
  <si>
    <t>insulated bra</t>
  </si>
  <si>
    <t>bowl</t>
  </si>
  <si>
    <t>swim suit</t>
  </si>
  <si>
    <t>fleece hat</t>
  </si>
  <si>
    <t>spoon</t>
  </si>
  <si>
    <t>sleeping bag liner</t>
  </si>
  <si>
    <t>bear canister</t>
  </si>
  <si>
    <t>frying pan</t>
  </si>
  <si>
    <t>small cutting board</t>
  </si>
  <si>
    <t>compass</t>
  </si>
  <si>
    <t>hot pad</t>
  </si>
  <si>
    <t>turner</t>
  </si>
  <si>
    <t>sponge with cleaning pad</t>
  </si>
  <si>
    <t>sweatpants</t>
  </si>
  <si>
    <t>air mattress in stuff sack</t>
  </si>
  <si>
    <t>LED headlamp with fully charged batteries</t>
  </si>
  <si>
    <t>small toothpaste</t>
  </si>
  <si>
    <t>small floss</t>
  </si>
  <si>
    <t>phone charging cable</t>
  </si>
  <si>
    <t>phone AC charger</t>
  </si>
  <si>
    <t>hiking poles</t>
  </si>
  <si>
    <t>small biodegradeable soap</t>
  </si>
  <si>
    <t>wallet</t>
  </si>
  <si>
    <t>keys</t>
  </si>
  <si>
    <t>nice camera with extra batteries</t>
  </si>
  <si>
    <t>hair tie</t>
  </si>
  <si>
    <t>hair brush</t>
  </si>
  <si>
    <t>2 1-liter water bottles, full</t>
  </si>
  <si>
    <t>fleece pants</t>
  </si>
  <si>
    <t>1 gallon water jug, full</t>
  </si>
  <si>
    <t>Wear on ride up</t>
  </si>
  <si>
    <t>Loose</t>
  </si>
  <si>
    <t>USB battery</t>
  </si>
  <si>
    <t>nylon white long sleeve shirt</t>
  </si>
  <si>
    <t>nylon tan long pants</t>
  </si>
  <si>
    <t>paper books</t>
  </si>
  <si>
    <t>paper note pad</t>
  </si>
  <si>
    <t>use phone</t>
  </si>
  <si>
    <t>skip coffee to save weight and space</t>
  </si>
  <si>
    <t>toothbrush with cover</t>
  </si>
  <si>
    <t>simplify meals to save weight and space</t>
  </si>
  <si>
    <t>use bandana</t>
  </si>
  <si>
    <t>if going to hotel only</t>
  </si>
  <si>
    <t>Therm-a-Rest Prolite Plus long 2021</t>
  </si>
  <si>
    <t>clothes bag stuff sack</t>
  </si>
  <si>
    <t>old sleeping bag stuff sack</t>
  </si>
  <si>
    <t>rigid sunglasses case</t>
  </si>
  <si>
    <t>mosquito head net</t>
  </si>
  <si>
    <t>Ben's Ultranet</t>
  </si>
  <si>
    <t>fleece sweater</t>
  </si>
  <si>
    <t>waterproof insulated gloves</t>
  </si>
  <si>
    <t>Swiss Army knife</t>
  </si>
  <si>
    <t>deoderant</t>
  </si>
  <si>
    <t>skin lotion</t>
  </si>
  <si>
    <t>fork</t>
  </si>
  <si>
    <t>butter knife</t>
  </si>
  <si>
    <t>lb</t>
  </si>
  <si>
    <t>clothes line</t>
  </si>
  <si>
    <t>small binoculars</t>
  </si>
  <si>
    <t>Goretex bivy sack in stuff sack with pole, rope, stakes, ground cloth and screen clip or caribener</t>
  </si>
  <si>
    <t>Haircut</t>
  </si>
  <si>
    <t>Trimmed nails</t>
  </si>
  <si>
    <t>&lt;25 BMI</t>
  </si>
  <si>
    <t>In good physical shape</t>
  </si>
  <si>
    <t>Healthy</t>
  </si>
  <si>
    <t>MSR PocketRocket Deluxe 2021; should be 4 minutes per liter</t>
  </si>
  <si>
    <t>hand sanitizer</t>
  </si>
  <si>
    <t>use camp suds</t>
  </si>
  <si>
    <t>for ride home</t>
  </si>
  <si>
    <t>for hike in</t>
  </si>
  <si>
    <t>summer only, for after hike out</t>
  </si>
  <si>
    <t>if not built in to car</t>
  </si>
  <si>
    <t>phone 12V to USB charger</t>
  </si>
  <si>
    <t>for trailhead info and easier reading about peaks and passes</t>
  </si>
  <si>
    <t>Moth balls</t>
  </si>
  <si>
    <t>hiking boots</t>
  </si>
  <si>
    <t>for ride there and back</t>
  </si>
  <si>
    <t>food</t>
  </si>
  <si>
    <t>Katadyn Hiker Pro 2010s, should be less than one minute to pump 1 liter</t>
  </si>
  <si>
    <t>trowel bag: 4'/day toilet paper in zip lock, trowel in zip lock, extra zip lock for used toilet paper</t>
  </si>
  <si>
    <t>2 gear straps for 2nd bear canister carried underneath</t>
  </si>
  <si>
    <t>fall through spring only</t>
  </si>
  <si>
    <t>Marmot tarp and rope</t>
  </si>
  <si>
    <t>only for areas infested with marmots that eat car wires and hoses such as Mineral King</t>
  </si>
  <si>
    <t>Backpack</t>
  </si>
  <si>
    <t>Tent bag</t>
  </si>
  <si>
    <t>Kitchen pot</t>
  </si>
  <si>
    <t>waterproof rain cover</t>
  </si>
  <si>
    <t>get larger cover that fully covers it when loaded</t>
  </si>
  <si>
    <t>only if skin is dry</t>
  </si>
  <si>
    <t>only for trips longer than 6 days</t>
  </si>
  <si>
    <t>second bear canister</t>
  </si>
  <si>
    <t>Backpackers Cache 2000s; only if &gt; 6 day trip, 2.77 lb</t>
  </si>
  <si>
    <t>Backpacking Pack List</t>
  </si>
  <si>
    <t>Leki Back Country Ultralte, in snow only for me but others may like balance and upper body workout; put on outside of pack eventually, 1.23 lb</t>
  </si>
  <si>
    <t>Campsuds 2oz container</t>
  </si>
  <si>
    <t>lip balm</t>
  </si>
  <si>
    <t>North Face Storm Break 2 with footprint 2021</t>
  </si>
  <si>
    <t>2 person tent</t>
  </si>
  <si>
    <t>to wear while other shirt is drying after being rinsed</t>
  </si>
  <si>
    <t>to wear while other pair of underpants is drying after being rinsed</t>
  </si>
  <si>
    <t>to wear while other pair of socks is drying after being rinsed</t>
  </si>
  <si>
    <t>In travel bag</t>
  </si>
  <si>
    <t>In shoe bag</t>
  </si>
  <si>
    <t>Loose in car</t>
  </si>
  <si>
    <t>Bear canister</t>
  </si>
  <si>
    <t>Main</t>
  </si>
  <si>
    <t>Lower left</t>
  </si>
  <si>
    <t>Water filter bag</t>
  </si>
  <si>
    <t>First aid bag</t>
  </si>
  <si>
    <t>Lower center</t>
  </si>
  <si>
    <t>Lower right</t>
  </si>
  <si>
    <t>Trowel bag</t>
  </si>
  <si>
    <t>Upper left</t>
  </si>
  <si>
    <t>Upper right</t>
  </si>
  <si>
    <t>unload main backpack in to tent and use for day hiking</t>
  </si>
  <si>
    <t>small tripod with iPhone clamp</t>
  </si>
  <si>
    <t>in pack,</t>
  </si>
  <si>
    <t>Top cover interior</t>
  </si>
  <si>
    <t>Preparation  Updated 7/28/2022</t>
  </si>
  <si>
    <t>Other</t>
  </si>
  <si>
    <t>use phone, or backs of Secor/itinerary/map copies</t>
  </si>
  <si>
    <t>Gregory Baltoro 75 liter 2020; unload in to tent and use for day hiking</t>
  </si>
  <si>
    <t>for people with breasts only</t>
  </si>
  <si>
    <t>for people with long hair only</t>
  </si>
  <si>
    <t>casual shorts (1 of 2)</t>
  </si>
  <si>
    <t>2 regular bras</t>
  </si>
  <si>
    <t>short sleeve cotton t-shirt (2 of 2)</t>
  </si>
  <si>
    <t>short sleeve synthetic running shirt (1 of 2)</t>
  </si>
  <si>
    <t>underpants (2 of 4)</t>
  </si>
  <si>
    <t>underpants (3 of 4)</t>
  </si>
  <si>
    <t>casual shorts (2 of 2)</t>
  </si>
  <si>
    <t>heavy wool socks (pair 1 of 2)</t>
  </si>
  <si>
    <t>short sleeve synthetic running shirt (2 of 2)</t>
  </si>
  <si>
    <t>underpants (4 of 4)</t>
  </si>
  <si>
    <t>heavy wool socks (pair 2 of 2)</t>
  </si>
  <si>
    <t>first aid kit</t>
  </si>
  <si>
    <t>Large zip lock</t>
  </si>
  <si>
    <t>Container</t>
  </si>
  <si>
    <t>Pouch</t>
  </si>
  <si>
    <t>Stuff bag</t>
  </si>
  <si>
    <t>Item</t>
  </si>
  <si>
    <t>Notes</t>
  </si>
  <si>
    <t>Weight</t>
  </si>
  <si>
    <t>eventually put in pack; one in water bottle holder and one in main pouch</t>
  </si>
  <si>
    <t>packed?</t>
  </si>
  <si>
    <t>floss threaders</t>
  </si>
  <si>
    <t>Garmin InReach,  USB charge cord and manual</t>
  </si>
  <si>
    <t>N95 mask</t>
  </si>
  <si>
    <t>in case of smoke from forest fire; one with ventilator flap preferred but not usable for COVID</t>
  </si>
  <si>
    <t>strap-on crampons</t>
  </si>
  <si>
    <t>winter only; Kahtoola microspikes</t>
  </si>
  <si>
    <t>not needed if on phone</t>
  </si>
  <si>
    <t>printed high altitude lodging reservation information</t>
  </si>
  <si>
    <t>Secor in large ziplock</t>
  </si>
  <si>
    <t>to repel animals if necessary; place next to tires</t>
  </si>
  <si>
    <t>sunscreen in small ziplock</t>
  </si>
  <si>
    <t>insect repellent in small ziplock</t>
  </si>
  <si>
    <t>SPF 15</t>
  </si>
  <si>
    <t>eventually put in pack uper left pouch loose</t>
  </si>
  <si>
    <t>eventually put in pack uper right pouch loose</t>
  </si>
  <si>
    <t>to test</t>
  </si>
  <si>
    <t>packed</t>
  </si>
  <si>
    <t>not bringing</t>
  </si>
  <si>
    <t>Optional Items  Updated 7/30/2022</t>
  </si>
  <si>
    <t>item</t>
  </si>
  <si>
    <t>reason why not required</t>
  </si>
  <si>
    <t>don't seem to need it in open, complex topography High Sierra</t>
  </si>
  <si>
    <t>don't have one yet</t>
  </si>
  <si>
    <t>Outdoor Research Alpine 2010s, 2.6 lb; tent is heavier but much less clausterhobic</t>
  </si>
  <si>
    <t>only for people with dry skin</t>
  </si>
  <si>
    <t>only if hot cereal or cooking meals in pots instead of just boiling water in them; cold cereal and drinks can be rinsed, .02 lb</t>
  </si>
  <si>
    <t>just hang drying clothes on tree branches or lay on rocks</t>
  </si>
  <si>
    <t>usually not too much far away wildlife in the High Sierras</t>
  </si>
  <si>
    <t>Can balance camera on a rock usually</t>
  </si>
  <si>
    <t>Fill car tires</t>
  </si>
  <si>
    <t>Fill car gas tank or battery</t>
  </si>
  <si>
    <t>for people with dental bridges only</t>
  </si>
  <si>
    <t>lbs total pack weight; 46 lbs measured on scale</t>
  </si>
  <si>
    <t>Grand Canyon May 2023</t>
  </si>
  <si>
    <t>Wear</t>
  </si>
  <si>
    <t>short sleeved shirt</t>
  </si>
  <si>
    <t>shorts</t>
  </si>
  <si>
    <t>underwear</t>
  </si>
  <si>
    <t>hiking socks</t>
  </si>
  <si>
    <t>sunglasses</t>
  </si>
  <si>
    <t>Pack clothes</t>
  </si>
  <si>
    <t>rain jacket</t>
  </si>
  <si>
    <t>rain pants</t>
  </si>
  <si>
    <t>sun shirt</t>
  </si>
  <si>
    <t>sun pants</t>
  </si>
  <si>
    <t>gloves</t>
  </si>
  <si>
    <t>thermal shirt</t>
  </si>
  <si>
    <t>thermal pants</t>
  </si>
  <si>
    <t>change of short sleeved shirt</t>
  </si>
  <si>
    <t>change of underwar</t>
  </si>
  <si>
    <t>change of hiking socks</t>
  </si>
  <si>
    <t>sunscreen</t>
  </si>
  <si>
    <t>water filter</t>
  </si>
  <si>
    <t>2 1-liter water bottles</t>
  </si>
  <si>
    <t>Pack gear cookless</t>
  </si>
  <si>
    <t xml:space="preserve">May average 70/39 south rim, 92/63 "below the rim" </t>
  </si>
  <si>
    <t>CJ</t>
  </si>
  <si>
    <t>TJ</t>
  </si>
  <si>
    <t>-</t>
  </si>
  <si>
    <t>cell phone</t>
  </si>
  <si>
    <t>backpack; 1 CJ overnight, TJ day, trade off</t>
  </si>
  <si>
    <t>Forecast for 5/21-23/2023 as of 5/15 80/53 degrees</t>
  </si>
  <si>
    <t>partly cloudy t0-storms at rim</t>
  </si>
  <si>
    <t>micro spikes</t>
  </si>
  <si>
    <t>only for snow crossings</t>
  </si>
  <si>
    <t>Bear Vault BV500 2000s</t>
  </si>
  <si>
    <t>travel bag</t>
  </si>
  <si>
    <t>water shoes</t>
  </si>
  <si>
    <t>Keen SOLR, strap on outside of backpack for camp shoes and river crossings</t>
  </si>
  <si>
    <t>underpants (1 of 4)</t>
  </si>
  <si>
    <t>short sleeve cotton t-shirt (1 of 2)</t>
  </si>
  <si>
    <t>days on trail (to calculate individual food weight)</t>
  </si>
  <si>
    <t>cargo pants</t>
  </si>
  <si>
    <t>REI Co-op Magma 15F medium 2024</t>
  </si>
  <si>
    <t>Lowa waterproof, freshly water sealed and shoo gooed as needed</t>
  </si>
  <si>
    <t>Assumes we sleep at altitude the night before</t>
  </si>
  <si>
    <t>cell phone with maps, route descriptions and books loaded on it</t>
  </si>
  <si>
    <t>for ride there and back if cold; eventually put in pack; clothes bag</t>
  </si>
  <si>
    <t>for ride there and back if cold</t>
  </si>
  <si>
    <t>mid sized synthetic towel</t>
  </si>
  <si>
    <t>Sleeping bag stuff sack</t>
  </si>
  <si>
    <t>Air mattress stuff sack</t>
  </si>
  <si>
    <t>Clothes stuff sack</t>
  </si>
  <si>
    <t>isobutane fuel canisters with fuel</t>
  </si>
  <si>
    <t>1 oz/person/day to boil 6 cups of water per person; MSR ISOPro 16 oz of fuel has 7 oz tare weight</t>
  </si>
  <si>
    <t>3 cup aluminum 1980s, also use as ceral bowl</t>
  </si>
  <si>
    <t>stainless steel 1980s</t>
  </si>
  <si>
    <t>soup spoon</t>
  </si>
  <si>
    <t>USB battery, fully charged</t>
  </si>
  <si>
    <t>Bob will carry this</t>
  </si>
  <si>
    <t>restocked with moleskin, ace bandage, aspirin or ibuprofin, surgical tape, bandage assortment (several suture, small, medium, large), antibiotic ointment, sterile gauze, iodine (unless 2 water pumps are bring brought), matches in zip lock, whistle, Swiss Army knife</t>
  </si>
  <si>
    <t>to pack or wear</t>
  </si>
  <si>
    <t>waterproof backpack rain cover</t>
  </si>
  <si>
    <t>USB phone charging cable</t>
  </si>
  <si>
    <t>Croakies for sunglasss</t>
  </si>
  <si>
    <t>UV block sunglasses</t>
  </si>
  <si>
    <t>paper and pens in large zip lock</t>
  </si>
  <si>
    <t>paper includes copy of wilderness permit; can also include map, itinerary with distances and climbs, climbing descriptions and doodle pad; bring two ball point pens inspectable to be mostly full of ink and tested, or mechanical pencil with multiple leads</t>
  </si>
  <si>
    <t>water filter with lube and filter scrubber, tested recently</t>
  </si>
  <si>
    <t>canister stove, tested recently for 3 cup boil time</t>
  </si>
  <si>
    <t>find blue fleece hat; using wool hat</t>
  </si>
  <si>
    <t>lip balm in ziplock</t>
  </si>
  <si>
    <t>insect repellent in ziplock</t>
  </si>
  <si>
    <t>small biodegradeable soap in ziplock</t>
  </si>
  <si>
    <t>spongue</t>
  </si>
  <si>
    <t>small pot with lid, held together with wide rubber band</t>
  </si>
  <si>
    <t>eco-friendsly SPF 30</t>
  </si>
  <si>
    <t>Sporti 35"x20", also for swimming after hike out</t>
  </si>
  <si>
    <t>to find or buy</t>
  </si>
  <si>
    <t>category</t>
  </si>
  <si>
    <t>backpack with waterproof rain cover</t>
  </si>
  <si>
    <t>clothes</t>
  </si>
  <si>
    <t>electronics</t>
  </si>
  <si>
    <t>remaining 21 items</t>
  </si>
  <si>
    <t>2 full isobutane fuel canisters</t>
  </si>
  <si>
    <t>2 full 1-liter water bottles</t>
  </si>
  <si>
    <t>sleeping bag</t>
  </si>
  <si>
    <t>air mattress</t>
  </si>
  <si>
    <t>trowel bag</t>
  </si>
  <si>
    <t xml:space="preserve">1.1 lb per 2000 calorie day estimate, much less than burned; people who are thinner with less altitude-induced appetite loss may want to bring more than this </t>
  </si>
  <si>
    <t>weighed</t>
  </si>
  <si>
    <t>pack wt,</t>
  </si>
  <si>
    <t>error</t>
  </si>
  <si>
    <t>Minimal Summer List  Updated 9/7/2024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</si>
</sst>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  <family val="2"/>
    </font>
    <font>
      <sz val="12"/>
      <name val="Times New Roman"/>
      <family val="1"/>
    </font>
    <font>
      <sz val="11"/>
      <name val="Courier New"/>
      <family val="3"/>
    </font>
    <font>
      <u/>
      <sz val="11"/>
      <name val="Courier New"/>
      <family val="3"/>
    </font>
    <font>
      <b/>
      <sz val="11"/>
      <color rgb="FFFF0000"/>
      <name val="Courier New"/>
      <family val="3"/>
    </font>
    <font>
      <u/>
      <sz val="10"/>
      <name val="Arial"/>
      <family val="2"/>
    </font>
    <font>
      <b/>
      <i/>
      <sz val="11"/>
      <color rgb="FFFF0000"/>
      <name val="Courier New"/>
      <family val="3"/>
    </font>
    <font>
      <sz val="12"/>
      <name val="Courier New"/>
      <family val="3"/>
    </font>
    <font>
      <u/>
      <sz val="12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1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" fontId="7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2" fontId="2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1" fillId="0" borderId="0" xfId="0" applyNumberFormat="1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2" fillId="0" borderId="0" xfId="0" applyNumberFormat="1" applyFont="1"/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Backpack</a:t>
            </a:r>
            <a:r>
              <a:rPr lang="en-US" baseline="0"/>
              <a:t> weight breakdowN: 48 lb total</a:t>
            </a:r>
          </a:p>
          <a:p>
            <a:pPr>
              <a:defRPr/>
            </a:pPr>
            <a:r>
              <a:rPr lang="en-US" sz="1200" baseline="0"/>
              <a:t>1 of 4 people out 6.3 days carrying all fuel and 1/2 tents and water pumps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06-4C6C-BABB-FF7176434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06-4C6C-BABB-FF7176434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06-4C6C-BABB-FF7176434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06-4C6C-BABB-FF71764342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06-4C6C-BABB-FF71764342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506-4C6C-BABB-FF71764342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506-4C6C-BABB-FF71764342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506-4C6C-BABB-FF71764342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506-4C6C-BABB-FF71764342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506-4C6C-BABB-FF71764342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506-4C6C-BABB-FF717643429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506-4C6C-BABB-FF717643429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506-4C6C-BABB-FF717643429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506-4C6C-BABB-FF717643429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506-4C6C-BABB-FF717643429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0506-4C6C-BABB-FF717643429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0506-4C6C-BABB-FF7176434294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0506-4C6C-BABB-FF717643429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0506-4C6C-BABB-FF7176434294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0506-4C6C-BABB-FF7176434294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0506-4C6C-BABB-FF7176434294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0506-4C6C-BABB-FF7176434294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0506-4C6C-BABB-FF7176434294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0506-4C6C-BABB-FF7176434294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0506-4C6C-BABB-FF7176434294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0506-4C6C-BABB-FF7176434294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0506-4C6C-BABB-FF7176434294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0506-4C6C-BABB-FF717643429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0506-4C6C-BABB-FF7176434294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0506-4C6C-BABB-FF7176434294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0506-4C6C-BABB-FF7176434294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0506-4C6C-BABB-FF7176434294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0506-4C6C-BABB-FF7176434294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0506-4C6C-BABB-FF7176434294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0506-4C6C-BABB-FF7176434294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0506-4C6C-BABB-FF7176434294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0506-4C6C-BABB-FF7176434294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0506-4C6C-BABB-FF7176434294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0506-4C6C-BABB-FF7176434294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0506-4C6C-BABB-FF7176434294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0506-4C6C-BABB-FF7176434294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0506-4C6C-BABB-FF7176434294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0506-4C6C-BABB-FF7176434294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0506-4C6C-BABB-FF7176434294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0506-4C6C-BABB-FF7176434294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0506-4C6C-BABB-FF7176434294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0506-4C6C-BABB-FF7176434294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0506-4C6C-BABB-FF7176434294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0506-4C6C-BABB-FF7176434294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0506-4C6C-BABB-FF7176434294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0506-4C6C-BABB-FF7176434294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0506-4C6C-BABB-FF7176434294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0506-4C6C-BABB-FF717643429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06-4C6C-BABB-FF717643429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06-4C6C-BABB-FF717643429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06-4C6C-BABB-FF717643429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506-4C6C-BABB-FF717643429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506-4C6C-BABB-FF717643429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506-4C6C-BABB-FF717643429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506-4C6C-BABB-FF717643429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0506-4C6C-BABB-FF717643429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0506-4C6C-BABB-FF717643429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0506-4C6C-BABB-FF717643429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0506-4C6C-BABB-FF717643429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0506-4C6C-BABB-FF717643429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0506-4C6C-BABB-FF7176434294}"/>
                </c:ext>
              </c:extLst>
            </c:dLbl>
            <c:dLbl>
              <c:idx val="13"/>
              <c:layout>
                <c:manualLayout>
                  <c:x val="-5.306382729806141E-2"/>
                  <c:y val="-1.764361135549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06-4C6C-BABB-FF7176434294}"/>
                </c:ext>
              </c:extLst>
            </c:dLbl>
            <c:dLbl>
              <c:idx val="14"/>
              <c:layout>
                <c:manualLayout>
                  <c:x val="-4.9404253001643347E-2"/>
                  <c:y val="-4.2848770434785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06-4C6C-BABB-FF7176434294}"/>
                </c:ext>
              </c:extLst>
            </c:dLbl>
            <c:dLbl>
              <c:idx val="15"/>
              <c:layout>
                <c:manualLayout>
                  <c:x val="2.5617020074926115E-2"/>
                  <c:y val="-1.5123095447571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06-4C6C-BABB-FF717643429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 data'!$B$7:$B$22</c:f>
              <c:strCache>
                <c:ptCount val="16"/>
                <c:pt idx="0">
                  <c:v>food</c:v>
                </c:pt>
                <c:pt idx="1">
                  <c:v>2 person tent</c:v>
                </c:pt>
                <c:pt idx="2">
                  <c:v>2 full 1-liter water bottles</c:v>
                </c:pt>
                <c:pt idx="3">
                  <c:v>backpack with waterproof rain cover</c:v>
                </c:pt>
                <c:pt idx="4">
                  <c:v>clothes</c:v>
                </c:pt>
                <c:pt idx="5">
                  <c:v>2 full isobutane fuel canisters</c:v>
                </c:pt>
                <c:pt idx="6">
                  <c:v>bear canister</c:v>
                </c:pt>
                <c:pt idx="7">
                  <c:v>sleeping bag</c:v>
                </c:pt>
                <c:pt idx="8">
                  <c:v>air mattress</c:v>
                </c:pt>
                <c:pt idx="9">
                  <c:v>water shoes</c:v>
                </c:pt>
                <c:pt idx="10">
                  <c:v>electronics</c:v>
                </c:pt>
                <c:pt idx="11">
                  <c:v>first aid kit</c:v>
                </c:pt>
                <c:pt idx="12">
                  <c:v>water filter</c:v>
                </c:pt>
                <c:pt idx="13">
                  <c:v>micro spikes</c:v>
                </c:pt>
                <c:pt idx="14">
                  <c:v>trowel bag</c:v>
                </c:pt>
                <c:pt idx="15">
                  <c:v>remaining 21 items</c:v>
                </c:pt>
              </c:strCache>
            </c:strRef>
          </c:cat>
          <c:val>
            <c:numRef>
              <c:f>'pie chart data'!$C$7:$C$22</c:f>
              <c:numCache>
                <c:formatCode>0.00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5.515625</c:v>
                </c:pt>
                <c:pt idx="3">
                  <c:v>5.3162500000000001</c:v>
                </c:pt>
                <c:pt idx="4">
                  <c:v>5.03</c:v>
                </c:pt>
                <c:pt idx="5">
                  <c:v>2.875</c:v>
                </c:pt>
                <c:pt idx="6">
                  <c:v>2.546875</c:v>
                </c:pt>
                <c:pt idx="7">
                  <c:v>2.421875</c:v>
                </c:pt>
                <c:pt idx="8">
                  <c:v>1.9375</c:v>
                </c:pt>
                <c:pt idx="9" formatCode="General">
                  <c:v>1.625</c:v>
                </c:pt>
                <c:pt idx="10">
                  <c:v>1.1599999999999999</c:v>
                </c:pt>
                <c:pt idx="11">
                  <c:v>1</c:v>
                </c:pt>
                <c:pt idx="12">
                  <c:v>0.91374999999999995</c:v>
                </c:pt>
                <c:pt idx="13">
                  <c:v>0.875</c:v>
                </c:pt>
                <c:pt idx="14">
                  <c:v>0.34375</c:v>
                </c:pt>
                <c:pt idx="15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0506-4C6C-BABB-FF717643429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56C812-C3F2-4A86-B1F5-671FCFE25079}">
  <sheetPr/>
  <sheetViews>
    <sheetView zoomScale="21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84" cy="62883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82FE2-A9A8-7497-D54A-01BB1784B1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0.77597</cdr:x>
      <cdr:y>0.10278</cdr:y>
    </cdr:from>
    <cdr:to>
      <cdr:x>0.99235</cdr:x>
      <cdr:y>0.15123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F68017-1A32-B43F-3583-031F301AB53A}"/>
            </a:ext>
          </a:extLst>
        </cdr:cNvPr>
        <cdr:cNvSpPr txBox="1"/>
      </cdr:nvSpPr>
      <cdr:spPr>
        <a:xfrm xmlns:a="http://schemas.openxmlformats.org/drawingml/2006/main">
          <a:off x="5385787" y="517864"/>
          <a:ext cx="1501806" cy="244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1">
              <a:solidFill>
                <a:srgbClr val="00B050"/>
              </a:solidFill>
            </a:rPr>
            <a:t>43 lb if shared evenly</a:t>
          </a:r>
        </a:p>
      </cdr:txBody>
    </cdr:sp>
  </cdr:relSizeAnchor>
  <cdr:relSizeAnchor xmlns:cdr="http://schemas.openxmlformats.org/drawingml/2006/chartDrawing">
    <cdr:from>
      <cdr:x>0.68556</cdr:x>
      <cdr:y>0.20703</cdr:y>
    </cdr:from>
    <cdr:to>
      <cdr:x>0.86551</cdr:x>
      <cdr:y>0.33476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3633E6F-21BD-63EF-8066-7C486A32F4E4}"/>
            </a:ext>
          </a:extLst>
        </cdr:cNvPr>
        <cdr:cNvSpPr txBox="1"/>
      </cdr:nvSpPr>
      <cdr:spPr>
        <a:xfrm xmlns:a="http://schemas.openxmlformats.org/drawingml/2006/main">
          <a:off x="4758269" y="1043127"/>
          <a:ext cx="1248953" cy="6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1">
              <a:solidFill>
                <a:srgbClr val="FF0000"/>
              </a:solidFill>
            </a:rPr>
            <a:t>only 2000 calories per</a:t>
          </a:r>
          <a:r>
            <a:rPr lang="en-US" sz="1100" b="1" i="1" baseline="0">
              <a:solidFill>
                <a:srgbClr val="FF0000"/>
              </a:solidFill>
            </a:rPr>
            <a:t> day</a:t>
          </a:r>
          <a:endParaRPr lang="en-US" sz="1100" b="1" i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0.77476</cdr:x>
      <cdr:y>0.48874</cdr:y>
    </cdr:from>
    <cdr:to>
      <cdr:x>0.97636</cdr:x>
      <cdr:y>0.61647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0286534-F8AE-0EB0-3835-8B82659BC808}"/>
            </a:ext>
          </a:extLst>
        </cdr:cNvPr>
        <cdr:cNvSpPr txBox="1"/>
      </cdr:nvSpPr>
      <cdr:spPr>
        <a:xfrm xmlns:a="http://schemas.openxmlformats.org/drawingml/2006/main">
          <a:off x="5377402" y="2462567"/>
          <a:ext cx="1399220" cy="6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1">
              <a:solidFill>
                <a:srgbClr val="FF0000"/>
              </a:solidFill>
            </a:rPr>
            <a:t>only 3.5 lb</a:t>
          </a:r>
          <a:r>
            <a:rPr lang="en-US" sz="1100" b="1" i="1" baseline="0">
              <a:solidFill>
                <a:srgbClr val="FF0000"/>
              </a:solidFill>
            </a:rPr>
            <a:t> if shared</a:t>
          </a:r>
          <a:endParaRPr lang="en-US" sz="1100" b="1" i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0.08833</cdr:x>
      <cdr:y>0.82937</cdr:y>
    </cdr:from>
    <cdr:to>
      <cdr:x>0.31231</cdr:x>
      <cdr:y>0.95711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0286534-F8AE-0EB0-3835-8B82659BC808}"/>
            </a:ext>
          </a:extLst>
        </cdr:cNvPr>
        <cdr:cNvSpPr txBox="1"/>
      </cdr:nvSpPr>
      <cdr:spPr>
        <a:xfrm xmlns:a="http://schemas.openxmlformats.org/drawingml/2006/main">
          <a:off x="613053" y="4178917"/>
          <a:ext cx="1554578" cy="6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1">
              <a:solidFill>
                <a:srgbClr val="FF0000"/>
              </a:solidFill>
            </a:rPr>
            <a:t>only 0.8 lb if shared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30B6-4971-457E-8A5A-D1730B7BAB4E}">
  <sheetPr>
    <pageSetUpPr fitToPage="1"/>
  </sheetPr>
  <dimension ref="A1:H86"/>
  <sheetViews>
    <sheetView tabSelected="1" zoomScaleNormal="100" workbookViewId="0"/>
  </sheetViews>
  <sheetFormatPr defaultColWidth="11.42578125" defaultRowHeight="12.75" x14ac:dyDescent="0.2"/>
  <cols>
    <col min="1" max="1" width="22" customWidth="1"/>
    <col min="2" max="2" width="17" bestFit="1" customWidth="1"/>
    <col min="3" max="3" width="31.5703125" bestFit="1" customWidth="1"/>
    <col min="4" max="4" width="12.5703125" style="2" bestFit="1" customWidth="1"/>
    <col min="5" max="5" width="61.28515625" bestFit="1" customWidth="1"/>
    <col min="6" max="6" width="11.5703125" style="2" bestFit="1" customWidth="1"/>
    <col min="7" max="7" width="122.42578125" customWidth="1"/>
    <col min="8" max="8" width="61.42578125" customWidth="1"/>
    <col min="9" max="250" width="8.85546875" customWidth="1"/>
  </cols>
  <sheetData>
    <row r="1" spans="1:8" ht="16.5" thickBot="1" x14ac:dyDescent="0.3">
      <c r="A1" s="3" t="s">
        <v>102</v>
      </c>
      <c r="B1" s="3"/>
      <c r="C1" s="3"/>
      <c r="D1" s="8">
        <v>1</v>
      </c>
      <c r="E1" s="18" t="s">
        <v>171</v>
      </c>
      <c r="F1" s="36">
        <v>6.33</v>
      </c>
      <c r="G1" s="3" t="s">
        <v>226</v>
      </c>
      <c r="H1" s="1"/>
    </row>
    <row r="2" spans="1:8" ht="15.75" x14ac:dyDescent="0.25">
      <c r="A2" s="3" t="s">
        <v>278</v>
      </c>
      <c r="B2" s="3"/>
      <c r="C2" s="3"/>
      <c r="D2" s="9">
        <v>0</v>
      </c>
      <c r="E2" s="3" t="s">
        <v>172</v>
      </c>
      <c r="F2" s="17">
        <f>SUM(F7:F82)</f>
        <v>46.749875000000003</v>
      </c>
      <c r="G2" s="3" t="s">
        <v>187</v>
      </c>
      <c r="H2" s="1"/>
    </row>
    <row r="3" spans="1:8" ht="15.75" x14ac:dyDescent="0.25">
      <c r="A3" s="3" t="s">
        <v>230</v>
      </c>
      <c r="B3" s="3"/>
      <c r="C3" s="3"/>
      <c r="D3" s="24">
        <v>1</v>
      </c>
      <c r="E3" s="3" t="s">
        <v>246</v>
      </c>
      <c r="F3" s="16">
        <v>46</v>
      </c>
      <c r="G3" s="3" t="s">
        <v>275</v>
      </c>
      <c r="H3" s="1"/>
    </row>
    <row r="4" spans="1:8" ht="16.5" x14ac:dyDescent="0.3">
      <c r="D4" s="25">
        <v>1</v>
      </c>
      <c r="E4" s="3" t="s">
        <v>170</v>
      </c>
      <c r="F4" s="52">
        <f>(F2-F3)/F3</f>
        <v>1.6301630434782673E-2</v>
      </c>
      <c r="G4" s="41" t="s">
        <v>277</v>
      </c>
      <c r="H4" s="1"/>
    </row>
    <row r="5" spans="1:8" ht="15.75" x14ac:dyDescent="0.25">
      <c r="A5" s="3"/>
      <c r="B5" s="3"/>
      <c r="C5" s="3"/>
      <c r="D5" s="26"/>
      <c r="E5" s="3" t="s">
        <v>263</v>
      </c>
      <c r="F5" s="4" t="s">
        <v>276</v>
      </c>
      <c r="G5" s="3"/>
      <c r="H5" s="1"/>
    </row>
    <row r="6" spans="1:8" ht="15" x14ac:dyDescent="0.25">
      <c r="A6" s="5" t="s">
        <v>147</v>
      </c>
      <c r="B6" s="5" t="s">
        <v>148</v>
      </c>
      <c r="C6" s="5" t="s">
        <v>149</v>
      </c>
      <c r="D6" s="44" t="s">
        <v>154</v>
      </c>
      <c r="E6" s="5" t="s">
        <v>150</v>
      </c>
      <c r="F6" s="6" t="s">
        <v>65</v>
      </c>
      <c r="G6" s="5" t="s">
        <v>151</v>
      </c>
    </row>
    <row r="7" spans="1:8" ht="15" customHeight="1" x14ac:dyDescent="0.25">
      <c r="A7" s="7" t="s">
        <v>39</v>
      </c>
      <c r="B7" s="7"/>
      <c r="C7" s="7"/>
      <c r="D7" s="49">
        <v>1</v>
      </c>
      <c r="E7" s="15" t="s">
        <v>225</v>
      </c>
      <c r="F7" s="9"/>
      <c r="G7" s="10"/>
    </row>
    <row r="8" spans="1:8" ht="15" customHeight="1" x14ac:dyDescent="0.25">
      <c r="A8" s="7"/>
      <c r="B8" s="7"/>
      <c r="C8" s="7"/>
      <c r="D8" s="50">
        <v>1</v>
      </c>
      <c r="E8" s="15" t="s">
        <v>224</v>
      </c>
      <c r="F8" s="9"/>
      <c r="G8" s="10"/>
    </row>
    <row r="9" spans="1:8" ht="15" customHeight="1" x14ac:dyDescent="0.25">
      <c r="A9" s="3"/>
      <c r="B9" s="3"/>
      <c r="C9" s="3"/>
      <c r="D9" s="50">
        <v>1</v>
      </c>
      <c r="E9" s="15" t="s">
        <v>134</v>
      </c>
      <c r="F9" s="9"/>
      <c r="G9" s="10"/>
    </row>
    <row r="10" spans="1:8" ht="15" customHeight="1" x14ac:dyDescent="0.25">
      <c r="A10" s="3"/>
      <c r="B10" s="3"/>
      <c r="C10" s="3"/>
      <c r="D10" s="50">
        <v>1</v>
      </c>
      <c r="E10" s="11" t="s">
        <v>222</v>
      </c>
      <c r="F10" s="8">
        <f>D10*(1+10/16)</f>
        <v>1.625</v>
      </c>
      <c r="G10" s="10" t="s">
        <v>223</v>
      </c>
    </row>
    <row r="11" spans="1:8" ht="15" customHeight="1" x14ac:dyDescent="0.25">
      <c r="A11" s="3"/>
      <c r="B11" s="3"/>
      <c r="C11" s="3"/>
      <c r="D11" s="50">
        <v>1</v>
      </c>
      <c r="E11" s="11" t="s">
        <v>250</v>
      </c>
      <c r="F11" s="9"/>
      <c r="G11" s="10"/>
    </row>
    <row r="12" spans="1:8" ht="30" x14ac:dyDescent="0.25">
      <c r="A12" s="3"/>
      <c r="B12" s="3"/>
      <c r="C12" s="51"/>
      <c r="D12" s="50">
        <v>1</v>
      </c>
      <c r="E12" s="14" t="s">
        <v>231</v>
      </c>
      <c r="F12" s="16">
        <f>D12*5.125/16</f>
        <v>0.3203125</v>
      </c>
      <c r="G12" s="10" t="s">
        <v>168</v>
      </c>
    </row>
    <row r="13" spans="1:8" ht="15" customHeight="1" x14ac:dyDescent="0.25">
      <c r="A13" s="3"/>
      <c r="B13" s="3"/>
      <c r="C13" s="3"/>
      <c r="D13" s="50">
        <v>1</v>
      </c>
      <c r="E13" s="14" t="s">
        <v>31</v>
      </c>
      <c r="F13" s="16">
        <f>D13*4.125/16</f>
        <v>0.2578125</v>
      </c>
      <c r="G13" s="10" t="s">
        <v>169</v>
      </c>
    </row>
    <row r="14" spans="1:8" ht="15" customHeight="1" x14ac:dyDescent="0.25">
      <c r="A14" s="3"/>
      <c r="B14" s="3"/>
      <c r="C14" s="3"/>
      <c r="D14" s="50">
        <v>1</v>
      </c>
      <c r="E14" s="11" t="s">
        <v>32</v>
      </c>
      <c r="F14" s="16">
        <f>D14*2.125/16</f>
        <v>0.1328125</v>
      </c>
      <c r="G14" s="10" t="s">
        <v>169</v>
      </c>
    </row>
    <row r="15" spans="1:8" ht="15" customHeight="1" x14ac:dyDescent="0.25">
      <c r="A15" s="3" t="s">
        <v>111</v>
      </c>
      <c r="B15" s="3"/>
      <c r="C15" s="3"/>
      <c r="D15" s="8">
        <v>1</v>
      </c>
      <c r="E15" s="11" t="s">
        <v>221</v>
      </c>
      <c r="F15" s="20"/>
      <c r="G15" s="10"/>
    </row>
    <row r="16" spans="1:8" ht="15" customHeight="1" x14ac:dyDescent="0.25">
      <c r="A16" s="3"/>
      <c r="B16" s="3"/>
      <c r="C16" s="3"/>
      <c r="D16" s="8">
        <v>1</v>
      </c>
      <c r="E16" s="11" t="s">
        <v>36</v>
      </c>
      <c r="F16" s="16">
        <f>D16*2*(2+12.125/16)</f>
        <v>5.515625</v>
      </c>
      <c r="G16" s="10" t="s">
        <v>153</v>
      </c>
    </row>
    <row r="17" spans="1:7" ht="15" customHeight="1" x14ac:dyDescent="0.25">
      <c r="A17" s="3"/>
      <c r="B17" s="3"/>
      <c r="C17" s="3"/>
      <c r="D17" s="8">
        <v>1</v>
      </c>
      <c r="E17" s="14" t="s">
        <v>58</v>
      </c>
      <c r="F17" s="16">
        <f>D17*12.125/16</f>
        <v>0.7578125</v>
      </c>
      <c r="G17" s="10" t="s">
        <v>232</v>
      </c>
    </row>
    <row r="18" spans="1:7" ht="15" customHeight="1" x14ac:dyDescent="0.25">
      <c r="A18" s="3"/>
      <c r="B18" s="3"/>
      <c r="C18" s="3"/>
      <c r="D18" s="8">
        <v>1</v>
      </c>
      <c r="E18" s="15" t="s">
        <v>22</v>
      </c>
      <c r="F18" s="9"/>
      <c r="G18" s="10" t="s">
        <v>233</v>
      </c>
    </row>
    <row r="19" spans="1:7" ht="15" customHeight="1" x14ac:dyDescent="0.25">
      <c r="A19" s="3"/>
      <c r="B19" s="3"/>
      <c r="C19" s="3"/>
      <c r="D19" s="8">
        <v>1</v>
      </c>
      <c r="E19" s="15" t="s">
        <v>163</v>
      </c>
      <c r="F19" s="9"/>
      <c r="G19" s="10" t="s">
        <v>82</v>
      </c>
    </row>
    <row r="20" spans="1:7" ht="15" customHeight="1" x14ac:dyDescent="0.25">
      <c r="A20" s="3"/>
      <c r="B20" s="3"/>
      <c r="C20" s="3"/>
      <c r="D20" s="50">
        <v>1</v>
      </c>
      <c r="E20" s="11" t="s">
        <v>55</v>
      </c>
      <c r="F20" s="16">
        <f>D20*1/16</f>
        <v>6.25E-2</v>
      </c>
      <c r="G20" s="10" t="s">
        <v>168</v>
      </c>
    </row>
    <row r="21" spans="1:7" ht="15" customHeight="1" x14ac:dyDescent="0.25">
      <c r="A21" s="3"/>
      <c r="B21" s="3"/>
      <c r="C21" s="3"/>
      <c r="D21" s="50">
        <v>1</v>
      </c>
      <c r="E21" s="15" t="s">
        <v>28</v>
      </c>
      <c r="F21" s="9"/>
      <c r="G21" s="10" t="s">
        <v>51</v>
      </c>
    </row>
    <row r="22" spans="1:7" ht="15" customHeight="1" x14ac:dyDescent="0.25">
      <c r="A22" s="3"/>
      <c r="B22" s="3"/>
      <c r="C22" s="3"/>
      <c r="D22" s="9">
        <v>0</v>
      </c>
      <c r="E22" s="15" t="s">
        <v>83</v>
      </c>
      <c r="F22" s="9"/>
      <c r="G22" s="10" t="s">
        <v>164</v>
      </c>
    </row>
    <row r="23" spans="1:7" ht="15" customHeight="1" x14ac:dyDescent="0.25">
      <c r="A23" s="3"/>
      <c r="B23" s="3"/>
      <c r="C23" s="3"/>
      <c r="D23" s="8">
        <v>1</v>
      </c>
      <c r="E23" s="11" t="s">
        <v>137</v>
      </c>
      <c r="F23" s="9"/>
      <c r="G23" s="10" t="s">
        <v>78</v>
      </c>
    </row>
    <row r="24" spans="1:7" ht="15" customHeight="1" x14ac:dyDescent="0.25">
      <c r="A24" s="3"/>
      <c r="B24" s="3"/>
      <c r="C24" s="3"/>
      <c r="D24" s="8">
        <v>1</v>
      </c>
      <c r="E24" s="11" t="s">
        <v>138</v>
      </c>
      <c r="F24" s="9"/>
      <c r="G24" s="10" t="s">
        <v>78</v>
      </c>
    </row>
    <row r="25" spans="1:7" ht="15" customHeight="1" x14ac:dyDescent="0.25">
      <c r="A25" s="3"/>
      <c r="B25" s="3"/>
      <c r="C25" s="3"/>
      <c r="D25" s="8">
        <v>1</v>
      </c>
      <c r="E25" s="11" t="s">
        <v>227</v>
      </c>
      <c r="F25" s="9"/>
      <c r="G25" s="10" t="s">
        <v>78</v>
      </c>
    </row>
    <row r="26" spans="1:7" ht="15" customHeight="1" x14ac:dyDescent="0.25">
      <c r="A26" s="3"/>
      <c r="B26" s="3"/>
      <c r="C26" s="3"/>
      <c r="D26" s="8">
        <v>1</v>
      </c>
      <c r="E26" s="11" t="s">
        <v>141</v>
      </c>
      <c r="F26" s="9"/>
      <c r="G26" s="10" t="s">
        <v>78</v>
      </c>
    </row>
    <row r="27" spans="1:7" ht="15" customHeight="1" x14ac:dyDescent="0.25">
      <c r="A27" s="3"/>
      <c r="B27" s="3"/>
      <c r="C27" s="3"/>
      <c r="D27" s="8">
        <v>1</v>
      </c>
      <c r="E27" s="11" t="s">
        <v>0</v>
      </c>
      <c r="F27" s="9"/>
      <c r="G27" s="10" t="s">
        <v>78</v>
      </c>
    </row>
    <row r="28" spans="1:7" ht="15" customHeight="1" x14ac:dyDescent="0.25">
      <c r="A28" s="3"/>
      <c r="B28" s="3"/>
      <c r="C28" s="3"/>
      <c r="D28" s="8">
        <v>1</v>
      </c>
      <c r="E28" s="11" t="s">
        <v>249</v>
      </c>
      <c r="F28" s="9"/>
      <c r="G28" s="10" t="s">
        <v>78</v>
      </c>
    </row>
    <row r="29" spans="1:7" ht="15" customHeight="1" x14ac:dyDescent="0.25">
      <c r="A29" s="3"/>
      <c r="B29" s="3"/>
      <c r="C29" s="3"/>
      <c r="D29" s="8">
        <v>1</v>
      </c>
      <c r="E29" s="11" t="s">
        <v>11</v>
      </c>
      <c r="F29" s="9"/>
      <c r="G29" s="10" t="s">
        <v>79</v>
      </c>
    </row>
    <row r="30" spans="1:7" ht="15" customHeight="1" x14ac:dyDescent="0.25">
      <c r="B30" s="3"/>
      <c r="C30" s="3"/>
      <c r="D30" s="8">
        <v>1</v>
      </c>
      <c r="E30" s="11" t="s">
        <v>136</v>
      </c>
      <c r="F30" s="9"/>
      <c r="G30" s="10" t="s">
        <v>77</v>
      </c>
    </row>
    <row r="31" spans="1:7" ht="15" customHeight="1" x14ac:dyDescent="0.25">
      <c r="B31" s="3"/>
      <c r="C31" s="3"/>
      <c r="D31" s="8">
        <v>1</v>
      </c>
      <c r="E31" s="11" t="s">
        <v>139</v>
      </c>
      <c r="F31" s="9"/>
      <c r="G31" s="10" t="s">
        <v>77</v>
      </c>
    </row>
    <row r="32" spans="1:7" ht="15" customHeight="1" x14ac:dyDescent="0.25">
      <c r="A32" s="3"/>
      <c r="B32" s="3"/>
      <c r="C32" s="3"/>
      <c r="D32" s="8">
        <v>1</v>
      </c>
      <c r="E32" s="11" t="s">
        <v>140</v>
      </c>
      <c r="F32" s="9"/>
      <c r="G32" s="10" t="s">
        <v>77</v>
      </c>
    </row>
    <row r="33" spans="1:8" ht="15" customHeight="1" x14ac:dyDescent="0.25">
      <c r="A33" s="7" t="s">
        <v>112</v>
      </c>
      <c r="B33" s="7"/>
      <c r="C33" s="7"/>
      <c r="D33" s="22">
        <v>1</v>
      </c>
      <c r="E33" s="11" t="s">
        <v>84</v>
      </c>
      <c r="F33" s="9"/>
      <c r="G33" s="10" t="s">
        <v>229</v>
      </c>
      <c r="H33" s="1"/>
    </row>
    <row r="34" spans="1:8" ht="15" customHeight="1" x14ac:dyDescent="0.25">
      <c r="A34" s="12" t="s">
        <v>113</v>
      </c>
      <c r="B34" s="12"/>
      <c r="C34" s="12"/>
      <c r="D34" s="23">
        <v>1</v>
      </c>
      <c r="E34" s="15" t="s">
        <v>38</v>
      </c>
      <c r="F34" s="9"/>
      <c r="G34" s="10" t="s">
        <v>85</v>
      </c>
      <c r="H34" s="1"/>
    </row>
    <row r="35" spans="1:8" ht="15.75" x14ac:dyDescent="0.25">
      <c r="A35" s="12"/>
      <c r="B35" s="12"/>
      <c r="C35" s="12"/>
      <c r="D35" s="39">
        <v>0</v>
      </c>
      <c r="E35" s="15" t="s">
        <v>91</v>
      </c>
      <c r="F35" s="9"/>
      <c r="G35" s="10" t="s">
        <v>92</v>
      </c>
      <c r="H35" s="1"/>
    </row>
    <row r="36" spans="1:8" ht="15" customHeight="1" x14ac:dyDescent="0.25">
      <c r="A36" s="12" t="s">
        <v>93</v>
      </c>
      <c r="B36" s="12"/>
      <c r="C36" s="12"/>
      <c r="D36" s="23">
        <v>1</v>
      </c>
      <c r="E36" s="11" t="s">
        <v>2</v>
      </c>
      <c r="F36" s="16">
        <f>D36*(5+1.38/16)</f>
        <v>5.0862499999999997</v>
      </c>
      <c r="G36" s="10" t="s">
        <v>131</v>
      </c>
      <c r="H36" s="1"/>
    </row>
    <row r="37" spans="1:8" ht="15" customHeight="1" x14ac:dyDescent="0.25">
      <c r="A37" s="12"/>
      <c r="B37" s="12"/>
      <c r="C37" s="3" t="s">
        <v>235</v>
      </c>
      <c r="D37" s="8">
        <v>1</v>
      </c>
      <c r="E37" s="11" t="s">
        <v>1</v>
      </c>
      <c r="F37" s="16">
        <f>D37*(2+6.75/16)</f>
        <v>2.421875</v>
      </c>
      <c r="G37" s="10" t="s">
        <v>228</v>
      </c>
      <c r="H37" s="1"/>
    </row>
    <row r="38" spans="1:8" ht="15" customHeight="1" x14ac:dyDescent="0.25">
      <c r="A38" s="7"/>
      <c r="B38" s="7" t="s">
        <v>115</v>
      </c>
      <c r="C38" s="7" t="s">
        <v>114</v>
      </c>
      <c r="D38" s="22">
        <v>1</v>
      </c>
      <c r="E38" s="11" t="s">
        <v>15</v>
      </c>
      <c r="F38" s="16">
        <f>D38*(2+8.75/16)</f>
        <v>2.546875</v>
      </c>
      <c r="G38" s="10" t="s">
        <v>220</v>
      </c>
      <c r="H38" s="1"/>
    </row>
    <row r="39" spans="1:8" ht="30" x14ac:dyDescent="0.25">
      <c r="A39" s="7"/>
      <c r="B39" s="7"/>
      <c r="C39" s="7"/>
      <c r="D39" s="23">
        <v>1</v>
      </c>
      <c r="E39" s="11" t="s">
        <v>86</v>
      </c>
      <c r="F39" s="16">
        <f>D39*1.1*F1</f>
        <v>6.963000000000001</v>
      </c>
      <c r="G39" s="14" t="s">
        <v>274</v>
      </c>
      <c r="H39" s="1"/>
    </row>
    <row r="40" spans="1:8" ht="15" customHeight="1" x14ac:dyDescent="0.25">
      <c r="A40" s="7"/>
      <c r="B40" s="7"/>
      <c r="C40" s="7"/>
      <c r="D40" s="22">
        <v>1</v>
      </c>
      <c r="E40" s="14" t="s">
        <v>165</v>
      </c>
      <c r="F40" s="16">
        <f>D40*4.875/16</f>
        <v>0.3046875</v>
      </c>
      <c r="G40" s="10" t="s">
        <v>261</v>
      </c>
      <c r="H40" s="1"/>
    </row>
    <row r="41" spans="1:8" ht="15" customHeight="1" x14ac:dyDescent="0.25">
      <c r="A41" s="7"/>
      <c r="B41" s="7"/>
      <c r="C41" s="7"/>
      <c r="D41" s="22">
        <v>1</v>
      </c>
      <c r="E41" s="11" t="s">
        <v>257</v>
      </c>
      <c r="F41" s="16">
        <f>D41*4.375/16</f>
        <v>0.2734375</v>
      </c>
      <c r="G41" s="10"/>
      <c r="H41" s="1"/>
    </row>
    <row r="42" spans="1:8" ht="15" customHeight="1" x14ac:dyDescent="0.25">
      <c r="A42" s="7"/>
      <c r="B42" s="7"/>
      <c r="C42" s="7"/>
      <c r="D42" s="22">
        <v>1</v>
      </c>
      <c r="E42" s="11" t="s">
        <v>256</v>
      </c>
      <c r="F42" s="16">
        <f>D42*0.25/16</f>
        <v>1.5625E-2</v>
      </c>
      <c r="G42" s="10" t="s">
        <v>167</v>
      </c>
      <c r="H42" s="1"/>
    </row>
    <row r="43" spans="1:8" ht="15" customHeight="1" x14ac:dyDescent="0.25">
      <c r="A43" s="7"/>
      <c r="B43" s="7"/>
      <c r="C43" s="7"/>
      <c r="D43" s="22">
        <v>1</v>
      </c>
      <c r="E43" s="11" t="s">
        <v>258</v>
      </c>
      <c r="F43" s="16">
        <f>D43*0.2</f>
        <v>0.2</v>
      </c>
      <c r="G43" s="10" t="s">
        <v>104</v>
      </c>
      <c r="H43" s="1"/>
    </row>
    <row r="44" spans="1:8" ht="15" customHeight="1" x14ac:dyDescent="0.25">
      <c r="A44" s="7"/>
      <c r="B44" s="7"/>
      <c r="C44" s="7"/>
      <c r="D44" s="37">
        <v>1</v>
      </c>
      <c r="E44" s="14" t="s">
        <v>48</v>
      </c>
      <c r="F44" s="16">
        <f>D44*0.5/16</f>
        <v>3.125E-2</v>
      </c>
      <c r="G44" s="10"/>
      <c r="H44" s="1"/>
    </row>
    <row r="45" spans="1:8" ht="15" customHeight="1" x14ac:dyDescent="0.25">
      <c r="A45" s="7"/>
      <c r="B45" s="7"/>
      <c r="C45" s="7"/>
      <c r="D45" s="37">
        <v>1</v>
      </c>
      <c r="E45" s="11" t="s">
        <v>25</v>
      </c>
      <c r="F45" s="16">
        <f>D45*0.75/16</f>
        <v>4.6875E-2</v>
      </c>
      <c r="G45" s="10"/>
      <c r="H45" s="1"/>
    </row>
    <row r="46" spans="1:8" ht="15" customHeight="1" x14ac:dyDescent="0.25">
      <c r="A46" s="7"/>
      <c r="B46" s="7"/>
      <c r="C46" s="7"/>
      <c r="D46" s="37">
        <v>1</v>
      </c>
      <c r="E46" s="11" t="s">
        <v>26</v>
      </c>
      <c r="F46" s="16">
        <f>D46*0.25/16</f>
        <v>1.5625E-2</v>
      </c>
      <c r="G46" s="10"/>
      <c r="H46" s="1"/>
    </row>
    <row r="47" spans="1:8" ht="15" customHeight="1" x14ac:dyDescent="0.25">
      <c r="A47" s="7"/>
      <c r="B47" s="7"/>
      <c r="C47" s="7"/>
      <c r="D47" s="37">
        <v>1</v>
      </c>
      <c r="E47" s="11" t="s">
        <v>155</v>
      </c>
      <c r="F47" s="16">
        <f>D47*0.25/16</f>
        <v>1.5625E-2</v>
      </c>
      <c r="G47" s="10" t="s">
        <v>186</v>
      </c>
      <c r="H47" s="1"/>
    </row>
    <row r="48" spans="1:8" ht="15" customHeight="1" x14ac:dyDescent="0.25">
      <c r="A48" s="7"/>
      <c r="B48" s="7"/>
      <c r="C48" s="7"/>
      <c r="D48" s="38">
        <v>0</v>
      </c>
      <c r="E48" s="11" t="s">
        <v>61</v>
      </c>
      <c r="F48" s="16">
        <f>D48*2/16</f>
        <v>0</v>
      </c>
      <c r="G48" s="10"/>
      <c r="H48" s="1"/>
    </row>
    <row r="49" spans="1:8" ht="15" customHeight="1" x14ac:dyDescent="0.25">
      <c r="A49" s="7"/>
      <c r="B49" s="7"/>
      <c r="C49" s="7"/>
      <c r="D49" s="38">
        <v>0</v>
      </c>
      <c r="E49" s="11" t="s">
        <v>62</v>
      </c>
      <c r="F49" s="42"/>
      <c r="G49" s="10" t="s">
        <v>179</v>
      </c>
      <c r="H49" s="1"/>
    </row>
    <row r="50" spans="1:8" ht="15" customHeight="1" x14ac:dyDescent="0.25">
      <c r="A50" s="7"/>
      <c r="B50" s="7"/>
      <c r="C50" s="7"/>
      <c r="D50" s="38">
        <v>0</v>
      </c>
      <c r="E50" s="11" t="s">
        <v>218</v>
      </c>
      <c r="F50" s="16">
        <f>D50*14/16</f>
        <v>0</v>
      </c>
      <c r="G50" s="10" t="s">
        <v>219</v>
      </c>
      <c r="H50" s="1"/>
    </row>
    <row r="51" spans="1:8" ht="30" customHeight="1" x14ac:dyDescent="0.25">
      <c r="B51" s="3"/>
      <c r="C51" s="3" t="s">
        <v>94</v>
      </c>
      <c r="D51" s="8">
        <v>1</v>
      </c>
      <c r="E51" s="11" t="s">
        <v>107</v>
      </c>
      <c r="F51" s="16">
        <f>D51*7</f>
        <v>7</v>
      </c>
      <c r="G51" s="10" t="s">
        <v>106</v>
      </c>
      <c r="H51" s="1"/>
    </row>
    <row r="52" spans="1:8" ht="15" customHeight="1" x14ac:dyDescent="0.25">
      <c r="B52" s="3"/>
      <c r="C52" s="3" t="s">
        <v>236</v>
      </c>
      <c r="D52" s="8">
        <v>1</v>
      </c>
      <c r="E52" s="11" t="s">
        <v>23</v>
      </c>
      <c r="F52" s="16">
        <f>D52*(1+15/16)</f>
        <v>1.9375</v>
      </c>
      <c r="G52" s="10" t="s">
        <v>52</v>
      </c>
      <c r="H52" s="1"/>
    </row>
    <row r="53" spans="1:8" ht="30" x14ac:dyDescent="0.25">
      <c r="B53" s="3"/>
      <c r="C53" s="3" t="s">
        <v>95</v>
      </c>
      <c r="D53" s="8">
        <v>1</v>
      </c>
      <c r="E53" s="11" t="s">
        <v>260</v>
      </c>
      <c r="F53" s="16">
        <f>D53*4.875/16</f>
        <v>0.3046875</v>
      </c>
      <c r="G53" s="10" t="s">
        <v>240</v>
      </c>
      <c r="H53" s="1"/>
    </row>
    <row r="54" spans="1:8" ht="15" customHeight="1" x14ac:dyDescent="0.25">
      <c r="B54" s="3"/>
      <c r="C54" s="3"/>
      <c r="D54" s="8">
        <v>1</v>
      </c>
      <c r="E54" s="14" t="s">
        <v>254</v>
      </c>
      <c r="F54" s="16">
        <f>D54*3.38/16</f>
        <v>0.21124999999999999</v>
      </c>
      <c r="G54" s="10" t="s">
        <v>74</v>
      </c>
      <c r="H54" s="1"/>
    </row>
    <row r="55" spans="1:8" ht="15" customHeight="1" x14ac:dyDescent="0.25">
      <c r="B55" s="3"/>
      <c r="C55" s="3"/>
      <c r="D55" s="8">
        <v>1</v>
      </c>
      <c r="E55" s="11" t="s">
        <v>19</v>
      </c>
      <c r="F55" s="16">
        <f>D55*0.25/16</f>
        <v>1.5625E-2</v>
      </c>
      <c r="G55" s="10"/>
      <c r="H55" s="1"/>
    </row>
    <row r="56" spans="1:8" ht="15" customHeight="1" x14ac:dyDescent="0.25">
      <c r="B56" s="3"/>
      <c r="C56" s="3"/>
      <c r="D56" s="8">
        <v>1</v>
      </c>
      <c r="E56" s="11" t="s">
        <v>259</v>
      </c>
      <c r="F56" s="16">
        <f>D56*0.375/16</f>
        <v>2.34375E-2</v>
      </c>
      <c r="G56" s="10"/>
      <c r="H56" s="1"/>
    </row>
    <row r="57" spans="1:8" ht="15" customHeight="1" x14ac:dyDescent="0.25">
      <c r="B57" s="3"/>
      <c r="C57" s="3" t="s">
        <v>237</v>
      </c>
      <c r="D57" s="8">
        <v>1</v>
      </c>
      <c r="E57" s="11" t="s">
        <v>53</v>
      </c>
      <c r="F57" s="16">
        <f>D57*2.75/16</f>
        <v>0.171875</v>
      </c>
      <c r="G57" s="10" t="s">
        <v>54</v>
      </c>
      <c r="H57" s="1"/>
    </row>
    <row r="58" spans="1:8" ht="15" customHeight="1" x14ac:dyDescent="0.25">
      <c r="B58" s="3"/>
      <c r="C58" s="3"/>
      <c r="D58" s="8">
        <v>1</v>
      </c>
      <c r="E58" s="14" t="s">
        <v>142</v>
      </c>
      <c r="F58" s="16">
        <f>D58*3.875/16</f>
        <v>0.2421875</v>
      </c>
      <c r="G58" s="10" t="s">
        <v>108</v>
      </c>
      <c r="H58" s="1"/>
    </row>
    <row r="59" spans="1:8" ht="15" customHeight="1" x14ac:dyDescent="0.25">
      <c r="B59" s="3"/>
      <c r="C59" s="3"/>
      <c r="D59" s="8">
        <v>1</v>
      </c>
      <c r="E59" s="11" t="s">
        <v>143</v>
      </c>
      <c r="F59" s="16">
        <f>D59*2.5/16</f>
        <v>0.15625</v>
      </c>
      <c r="G59" s="10" t="s">
        <v>109</v>
      </c>
      <c r="H59" s="1"/>
    </row>
    <row r="60" spans="1:8" ht="15" customHeight="1" x14ac:dyDescent="0.25">
      <c r="B60" s="3"/>
      <c r="C60" s="3"/>
      <c r="D60" s="8">
        <v>1</v>
      </c>
      <c r="E60" s="11" t="s">
        <v>144</v>
      </c>
      <c r="F60" s="16">
        <f>D60*2.38/16</f>
        <v>0.14874999999999999</v>
      </c>
      <c r="G60" s="10" t="s">
        <v>110</v>
      </c>
      <c r="H60" s="1"/>
    </row>
    <row r="61" spans="1:8" ht="15" customHeight="1" x14ac:dyDescent="0.25">
      <c r="B61" s="3"/>
      <c r="C61" s="3"/>
      <c r="D61" s="8">
        <v>1</v>
      </c>
      <c r="E61" s="14" t="s">
        <v>42</v>
      </c>
      <c r="F61" s="16">
        <f>D61*9/16</f>
        <v>0.5625</v>
      </c>
      <c r="G61" s="10"/>
      <c r="H61" s="1"/>
    </row>
    <row r="62" spans="1:8" ht="15" customHeight="1" x14ac:dyDescent="0.25">
      <c r="B62" s="3"/>
      <c r="C62" s="3"/>
      <c r="D62" s="8">
        <v>1</v>
      </c>
      <c r="E62" s="14" t="s">
        <v>43</v>
      </c>
      <c r="F62" s="16">
        <f>D62*9.625/16</f>
        <v>0.6015625</v>
      </c>
      <c r="G62" s="10"/>
      <c r="H62" s="1"/>
    </row>
    <row r="63" spans="1:8" ht="15" customHeight="1" x14ac:dyDescent="0.25">
      <c r="D63" s="21">
        <v>1</v>
      </c>
      <c r="E63" s="14" t="s">
        <v>3</v>
      </c>
      <c r="F63" s="16">
        <f>D63*10.25/16</f>
        <v>0.640625</v>
      </c>
      <c r="G63" s="10"/>
      <c r="H63" s="1"/>
    </row>
    <row r="64" spans="1:8" ht="15" customHeight="1" x14ac:dyDescent="0.25">
      <c r="A64" s="3"/>
      <c r="B64" s="3"/>
      <c r="C64" s="3"/>
      <c r="D64" s="8">
        <v>1</v>
      </c>
      <c r="E64" s="14" t="s">
        <v>4</v>
      </c>
      <c r="F64" s="16">
        <f>D64*10.25/16</f>
        <v>0.640625</v>
      </c>
      <c r="G64" s="10"/>
      <c r="H64" s="1"/>
    </row>
    <row r="65" spans="1:8" ht="15" customHeight="1" x14ac:dyDescent="0.25">
      <c r="A65" s="3"/>
      <c r="B65" s="3"/>
      <c r="C65" s="3"/>
      <c r="D65" s="8">
        <v>1</v>
      </c>
      <c r="E65" s="14" t="s">
        <v>6</v>
      </c>
      <c r="F65" s="16">
        <f>D65*6.38/16</f>
        <v>0.39874999999999999</v>
      </c>
      <c r="G65" s="10"/>
      <c r="H65" s="1"/>
    </row>
    <row r="66" spans="1:8" ht="15" customHeight="1" x14ac:dyDescent="0.25">
      <c r="A66" s="3"/>
      <c r="B66" s="3"/>
      <c r="C66" s="3"/>
      <c r="D66" s="8">
        <v>1</v>
      </c>
      <c r="E66" s="14" t="s">
        <v>8</v>
      </c>
      <c r="F66" s="16">
        <f>D66*6.625/16</f>
        <v>0.4140625</v>
      </c>
      <c r="G66" s="10"/>
      <c r="H66" s="1"/>
    </row>
    <row r="67" spans="1:8" ht="15" customHeight="1" x14ac:dyDescent="0.3">
      <c r="A67" s="3"/>
      <c r="B67" s="3"/>
      <c r="C67" s="3"/>
      <c r="D67" s="8">
        <v>1</v>
      </c>
      <c r="E67" s="11" t="s">
        <v>12</v>
      </c>
      <c r="F67" s="16">
        <f>D67*2.125/16</f>
        <v>0.1328125</v>
      </c>
      <c r="G67" s="40" t="s">
        <v>255</v>
      </c>
      <c r="H67" s="1"/>
    </row>
    <row r="68" spans="1:8" ht="15" customHeight="1" x14ac:dyDescent="0.25">
      <c r="A68" s="3"/>
      <c r="B68" s="3"/>
      <c r="C68" s="3"/>
      <c r="D68" s="8">
        <v>1</v>
      </c>
      <c r="E68" s="11" t="s">
        <v>200</v>
      </c>
      <c r="F68" s="16">
        <f>D68*2.625/16</f>
        <v>0.1640625</v>
      </c>
      <c r="G68" s="10"/>
      <c r="H68" s="1"/>
    </row>
    <row r="69" spans="1:8" ht="15" customHeight="1" x14ac:dyDescent="0.25">
      <c r="A69" s="3"/>
      <c r="B69" s="3"/>
      <c r="C69" s="3"/>
      <c r="D69" s="50">
        <v>1</v>
      </c>
      <c r="E69" s="14" t="s">
        <v>234</v>
      </c>
      <c r="F69" s="16">
        <f>D69*3.375/16</f>
        <v>0.2109375</v>
      </c>
      <c r="G69" s="10" t="s">
        <v>262</v>
      </c>
      <c r="H69" s="1"/>
    </row>
    <row r="70" spans="1:8" ht="15" customHeight="1" x14ac:dyDescent="0.25">
      <c r="A70" s="3"/>
      <c r="B70" s="3"/>
      <c r="C70" s="3" t="s">
        <v>40</v>
      </c>
      <c r="D70" s="8">
        <v>2</v>
      </c>
      <c r="E70" s="11" t="s">
        <v>238</v>
      </c>
      <c r="F70" s="17">
        <f>D70*23/16</f>
        <v>2.875</v>
      </c>
      <c r="G70" s="10" t="s">
        <v>239</v>
      </c>
      <c r="H70" s="1"/>
    </row>
    <row r="71" spans="1:8" ht="30" x14ac:dyDescent="0.25">
      <c r="A71" s="7"/>
      <c r="B71" s="7" t="s">
        <v>116</v>
      </c>
      <c r="C71" s="7" t="s">
        <v>117</v>
      </c>
      <c r="D71" s="22">
        <v>1</v>
      </c>
      <c r="E71" s="11" t="s">
        <v>253</v>
      </c>
      <c r="F71" s="16">
        <f>D71*14.62/16</f>
        <v>0.91374999999999995</v>
      </c>
      <c r="G71" s="13" t="s">
        <v>87</v>
      </c>
      <c r="H71" s="1"/>
    </row>
    <row r="72" spans="1:8" ht="60" x14ac:dyDescent="0.25">
      <c r="A72" s="7"/>
      <c r="B72" s="7" t="s">
        <v>119</v>
      </c>
      <c r="C72" s="7" t="s">
        <v>118</v>
      </c>
      <c r="D72" s="22">
        <v>1</v>
      </c>
      <c r="E72" s="11" t="s">
        <v>145</v>
      </c>
      <c r="F72" s="16">
        <f>D72*1</f>
        <v>1</v>
      </c>
      <c r="G72" s="14" t="s">
        <v>245</v>
      </c>
      <c r="H72" s="1"/>
    </row>
    <row r="73" spans="1:8" ht="45" x14ac:dyDescent="0.25">
      <c r="A73" s="7"/>
      <c r="B73" s="7" t="s">
        <v>120</v>
      </c>
      <c r="C73" s="7" t="s">
        <v>121</v>
      </c>
      <c r="D73" s="22">
        <v>1</v>
      </c>
      <c r="E73" s="14" t="s">
        <v>88</v>
      </c>
      <c r="F73" s="16">
        <f>D73*5.5/16</f>
        <v>0.34375</v>
      </c>
      <c r="G73" s="10"/>
      <c r="H73" s="1"/>
    </row>
    <row r="74" spans="1:8" ht="15" customHeight="1" x14ac:dyDescent="0.25">
      <c r="A74" s="3"/>
      <c r="B74" s="7" t="s">
        <v>122</v>
      </c>
      <c r="C74" s="7" t="s">
        <v>40</v>
      </c>
      <c r="D74" s="8">
        <v>1</v>
      </c>
      <c r="E74" s="14" t="s">
        <v>24</v>
      </c>
      <c r="F74" s="16">
        <f>D74*3.75/16</f>
        <v>0.234375</v>
      </c>
      <c r="G74" s="10"/>
    </row>
    <row r="75" spans="1:8" ht="15" customHeight="1" x14ac:dyDescent="0.25">
      <c r="A75" s="3"/>
      <c r="B75" s="7"/>
      <c r="C75" s="7"/>
      <c r="D75" s="22">
        <v>1</v>
      </c>
      <c r="E75" s="14" t="s">
        <v>243</v>
      </c>
      <c r="F75" s="16">
        <f>D75*4.25/16</f>
        <v>0.265625</v>
      </c>
      <c r="G75" s="10"/>
    </row>
    <row r="76" spans="1:8" ht="15" customHeight="1" x14ac:dyDescent="0.25">
      <c r="A76" s="3"/>
      <c r="B76" s="7"/>
      <c r="C76" s="7"/>
      <c r="D76" s="8">
        <v>1</v>
      </c>
      <c r="E76" s="15" t="s">
        <v>248</v>
      </c>
      <c r="F76" s="16">
        <f>D76*0.5/16</f>
        <v>3.125E-2</v>
      </c>
      <c r="G76" s="10"/>
    </row>
    <row r="77" spans="1:8" ht="15" customHeight="1" x14ac:dyDescent="0.25">
      <c r="A77" s="3"/>
      <c r="B77" s="3"/>
      <c r="C77" s="3"/>
      <c r="D77" s="9">
        <v>0</v>
      </c>
      <c r="E77" s="11" t="s">
        <v>156</v>
      </c>
      <c r="F77" s="16">
        <f>D77*5/16</f>
        <v>0</v>
      </c>
      <c r="G77" s="10" t="s">
        <v>244</v>
      </c>
    </row>
    <row r="78" spans="1:8" ht="15" x14ac:dyDescent="0.25">
      <c r="A78" s="7"/>
      <c r="B78" s="7" t="s">
        <v>123</v>
      </c>
      <c r="C78" s="7" t="s">
        <v>40</v>
      </c>
      <c r="D78" s="8">
        <v>1</v>
      </c>
      <c r="E78" s="11" t="s">
        <v>242</v>
      </c>
      <c r="F78" s="16">
        <f>D78*1/16</f>
        <v>6.25E-2</v>
      </c>
      <c r="G78" s="10" t="s">
        <v>241</v>
      </c>
    </row>
    <row r="79" spans="1:8" ht="15" x14ac:dyDescent="0.25">
      <c r="A79" s="3"/>
      <c r="B79" s="3"/>
      <c r="C79" s="3"/>
      <c r="D79" s="8">
        <v>1</v>
      </c>
      <c r="E79" s="11" t="s">
        <v>56</v>
      </c>
      <c r="F79" s="16">
        <f>D79*0.625/16</f>
        <v>3.90625E-2</v>
      </c>
      <c r="G79" s="10" t="s">
        <v>57</v>
      </c>
    </row>
    <row r="80" spans="1:8" ht="15" x14ac:dyDescent="0.25">
      <c r="A80" s="3"/>
      <c r="B80" s="3"/>
      <c r="C80" s="3"/>
      <c r="D80" s="8">
        <v>1</v>
      </c>
      <c r="E80" s="15" t="s">
        <v>157</v>
      </c>
      <c r="F80" s="16">
        <f>D80*0.375/16</f>
        <v>2.34375E-2</v>
      </c>
      <c r="G80" s="10" t="s">
        <v>158</v>
      </c>
    </row>
    <row r="81" spans="1:7" ht="30.75" x14ac:dyDescent="0.3">
      <c r="A81" s="3"/>
      <c r="B81" s="7" t="s">
        <v>127</v>
      </c>
      <c r="C81" s="7" t="s">
        <v>40</v>
      </c>
      <c r="D81" s="22">
        <v>1</v>
      </c>
      <c r="E81" s="14" t="s">
        <v>247</v>
      </c>
      <c r="F81" s="16">
        <f>D81*3.75/16</f>
        <v>0.234375</v>
      </c>
      <c r="G81" s="19" t="s">
        <v>97</v>
      </c>
    </row>
    <row r="82" spans="1:7" ht="45" x14ac:dyDescent="0.25">
      <c r="A82" s="3"/>
      <c r="B82" s="3"/>
      <c r="C82" s="3" t="s">
        <v>146</v>
      </c>
      <c r="D82" s="8">
        <v>1</v>
      </c>
      <c r="E82" s="11" t="s">
        <v>251</v>
      </c>
      <c r="F82" s="16">
        <f>D82*2.5/16</f>
        <v>0.15625</v>
      </c>
      <c r="G82" s="14" t="s">
        <v>252</v>
      </c>
    </row>
    <row r="83" spans="1:7" ht="15" x14ac:dyDescent="0.25">
      <c r="A83" s="3"/>
      <c r="B83" s="3" t="s">
        <v>129</v>
      </c>
      <c r="C83" s="3" t="s">
        <v>40</v>
      </c>
      <c r="D83" s="9">
        <v>0</v>
      </c>
      <c r="E83" s="11" t="s">
        <v>135</v>
      </c>
      <c r="F83" s="42"/>
      <c r="G83" s="10" t="s">
        <v>132</v>
      </c>
    </row>
    <row r="84" spans="1:7" ht="15" x14ac:dyDescent="0.25">
      <c r="D84" s="9">
        <v>0</v>
      </c>
      <c r="E84" s="14" t="s">
        <v>9</v>
      </c>
      <c r="F84" s="43"/>
      <c r="G84" s="10" t="s">
        <v>132</v>
      </c>
    </row>
    <row r="85" spans="1:7" ht="15" x14ac:dyDescent="0.25">
      <c r="D85" s="9">
        <v>0</v>
      </c>
      <c r="E85" s="14" t="s">
        <v>34</v>
      </c>
      <c r="F85" s="43"/>
      <c r="G85" s="10" t="s">
        <v>133</v>
      </c>
    </row>
    <row r="86" spans="1:7" ht="15" x14ac:dyDescent="0.25">
      <c r="D86" s="9">
        <v>0</v>
      </c>
      <c r="E86" s="14" t="s">
        <v>35</v>
      </c>
      <c r="F86" s="43"/>
      <c r="G86" s="10" t="s">
        <v>133</v>
      </c>
    </row>
  </sheetData>
  <sheetProtection selectLockedCells="1" selectUnlockedCells="1"/>
  <autoFilter ref="A6:G82" xr:uid="{F31930B6-4971-457E-8A5A-D1730B7BAB4E}"/>
  <sortState xmlns:xlrd2="http://schemas.microsoft.com/office/spreadsheetml/2017/richdata2" ref="E38:G79">
    <sortCondition descending="1" ref="F38:F79"/>
  </sortState>
  <printOptions gridLines="1"/>
  <pageMargins left="0.25" right="0.25" top="0.75" bottom="0.75" header="0.51180555555555551" footer="0.51180555555555551"/>
  <pageSetup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E95F-4496-4F38-ACC4-A5452CA150F8}">
  <sheetPr>
    <pageSetUpPr fitToPage="1"/>
  </sheetPr>
  <dimension ref="A1:D22"/>
  <sheetViews>
    <sheetView zoomScaleNormal="100" workbookViewId="0"/>
  </sheetViews>
  <sheetFormatPr defaultColWidth="11.42578125" defaultRowHeight="12.75" x14ac:dyDescent="0.2"/>
  <cols>
    <col min="1" max="1" width="12.5703125" style="2" bestFit="1" customWidth="1"/>
    <col min="2" max="2" width="61.28515625" bestFit="1" customWidth="1"/>
    <col min="3" max="3" width="11.5703125" style="2" bestFit="1" customWidth="1"/>
    <col min="4" max="4" width="61.42578125" customWidth="1"/>
    <col min="5" max="246" width="8.85546875" customWidth="1"/>
  </cols>
  <sheetData>
    <row r="1" spans="1:4" ht="15.75" thickBot="1" x14ac:dyDescent="0.3">
      <c r="A1" s="4"/>
      <c r="B1" s="45" t="s">
        <v>226</v>
      </c>
      <c r="C1" s="46">
        <v>6.33</v>
      </c>
    </row>
    <row r="2" spans="1:4" ht="15.75" thickBot="1" x14ac:dyDescent="0.3">
      <c r="A2" s="4"/>
      <c r="B2" s="45" t="s">
        <v>187</v>
      </c>
      <c r="C2" s="47">
        <f>SUM(C7:C22)</f>
        <v>48.090624999999996</v>
      </c>
    </row>
    <row r="3" spans="1:4" ht="15.75" x14ac:dyDescent="0.25">
      <c r="A3" s="4"/>
      <c r="B3" s="3"/>
      <c r="C3" s="17"/>
      <c r="D3" s="1"/>
    </row>
    <row r="4" spans="1:4" ht="15.75" x14ac:dyDescent="0.25">
      <c r="B4" s="3"/>
      <c r="C4" s="4" t="s">
        <v>152</v>
      </c>
      <c r="D4" s="1"/>
    </row>
    <row r="5" spans="1:4" ht="15.75" x14ac:dyDescent="0.25">
      <c r="A5" s="4"/>
      <c r="B5" s="3"/>
      <c r="C5" s="4" t="s">
        <v>126</v>
      </c>
      <c r="D5" s="1"/>
    </row>
    <row r="6" spans="1:4" ht="15" x14ac:dyDescent="0.25">
      <c r="A6" s="44" t="s">
        <v>154</v>
      </c>
      <c r="B6" s="5" t="s">
        <v>150</v>
      </c>
      <c r="C6" s="6" t="s">
        <v>65</v>
      </c>
      <c r="D6" t="s">
        <v>264</v>
      </c>
    </row>
    <row r="7" spans="1:4" ht="15" customHeight="1" x14ac:dyDescent="0.25">
      <c r="A7" s="22">
        <v>1</v>
      </c>
      <c r="B7" s="11" t="s">
        <v>86</v>
      </c>
      <c r="C7" s="16">
        <v>7</v>
      </c>
    </row>
    <row r="8" spans="1:4" ht="15" x14ac:dyDescent="0.25">
      <c r="A8" s="22">
        <v>1</v>
      </c>
      <c r="B8" s="14" t="s">
        <v>107</v>
      </c>
      <c r="C8" s="16">
        <f>A8*7</f>
        <v>7</v>
      </c>
    </row>
    <row r="9" spans="1:4" ht="15" customHeight="1" x14ac:dyDescent="0.25">
      <c r="A9" s="22">
        <v>1</v>
      </c>
      <c r="B9" s="14" t="s">
        <v>270</v>
      </c>
      <c r="C9" s="16">
        <f>A9*2*(2+12.125/16)</f>
        <v>5.515625</v>
      </c>
    </row>
    <row r="10" spans="1:4" ht="15" customHeight="1" x14ac:dyDescent="0.25">
      <c r="A10" s="22">
        <v>1</v>
      </c>
      <c r="B10" s="11" t="s">
        <v>265</v>
      </c>
      <c r="C10" s="16">
        <f>A10*(5+1.38/16)+0.23</f>
        <v>5.3162500000000001</v>
      </c>
    </row>
    <row r="11" spans="1:4" ht="15" customHeight="1" x14ac:dyDescent="0.25">
      <c r="A11" s="22"/>
      <c r="B11" s="11" t="s">
        <v>266</v>
      </c>
      <c r="C11" s="16">
        <v>5.03</v>
      </c>
    </row>
    <row r="12" spans="1:4" ht="15" customHeight="1" x14ac:dyDescent="0.25">
      <c r="A12" s="22">
        <v>2</v>
      </c>
      <c r="B12" s="11" t="s">
        <v>269</v>
      </c>
      <c r="C12" s="16">
        <f>A12*23/16</f>
        <v>2.875</v>
      </c>
    </row>
    <row r="13" spans="1:4" ht="15" customHeight="1" x14ac:dyDescent="0.25">
      <c r="A13" s="22">
        <v>1</v>
      </c>
      <c r="B13" s="14" t="s">
        <v>15</v>
      </c>
      <c r="C13" s="16">
        <f>A13*(2+8.75/16)</f>
        <v>2.546875</v>
      </c>
    </row>
    <row r="14" spans="1:4" ht="15" customHeight="1" x14ac:dyDescent="0.25">
      <c r="A14" s="22">
        <v>1</v>
      </c>
      <c r="B14" s="11" t="s">
        <v>271</v>
      </c>
      <c r="C14" s="16">
        <f>A14*(2+6.75/16)</f>
        <v>2.421875</v>
      </c>
    </row>
    <row r="15" spans="1:4" ht="15" customHeight="1" x14ac:dyDescent="0.25">
      <c r="A15" s="22">
        <v>1</v>
      </c>
      <c r="B15" s="11" t="s">
        <v>272</v>
      </c>
      <c r="C15" s="16">
        <f>A15*(1+15/16)</f>
        <v>1.9375</v>
      </c>
      <c r="D15" s="1"/>
    </row>
    <row r="16" spans="1:4" ht="15" customHeight="1" x14ac:dyDescent="0.25">
      <c r="A16" s="22">
        <v>1</v>
      </c>
      <c r="B16" s="11" t="s">
        <v>222</v>
      </c>
      <c r="C16" s="8">
        <f>A16*(1+10/16)</f>
        <v>1.625</v>
      </c>
      <c r="D16" s="1"/>
    </row>
    <row r="17" spans="1:4" ht="15" customHeight="1" x14ac:dyDescent="0.25">
      <c r="A17" s="22">
        <v>1</v>
      </c>
      <c r="B17" s="11" t="s">
        <v>267</v>
      </c>
      <c r="C17" s="16">
        <v>1.1599999999999999</v>
      </c>
      <c r="D17" s="1"/>
    </row>
    <row r="18" spans="1:4" ht="15" customHeight="1" x14ac:dyDescent="0.25">
      <c r="A18" s="22">
        <v>1</v>
      </c>
      <c r="B18" s="11" t="s">
        <v>145</v>
      </c>
      <c r="C18" s="16">
        <f>A18*1</f>
        <v>1</v>
      </c>
      <c r="D18" s="1"/>
    </row>
    <row r="19" spans="1:4" ht="15" customHeight="1" x14ac:dyDescent="0.25">
      <c r="A19" s="22">
        <v>1</v>
      </c>
      <c r="B19" s="11" t="s">
        <v>207</v>
      </c>
      <c r="C19" s="16">
        <f>A19*14.62/16</f>
        <v>0.91374999999999995</v>
      </c>
      <c r="D19" s="1"/>
    </row>
    <row r="20" spans="1:4" ht="15" customHeight="1" x14ac:dyDescent="0.25">
      <c r="A20" s="22">
        <v>1</v>
      </c>
      <c r="B20" s="14" t="s">
        <v>218</v>
      </c>
      <c r="C20" s="16">
        <f>A20*14/16</f>
        <v>0.875</v>
      </c>
      <c r="D20" s="1"/>
    </row>
    <row r="21" spans="1:4" ht="15" customHeight="1" x14ac:dyDescent="0.25">
      <c r="A21" s="22">
        <v>1</v>
      </c>
      <c r="B21" s="11" t="s">
        <v>273</v>
      </c>
      <c r="C21" s="16">
        <f>A21*5.5/16</f>
        <v>0.34375</v>
      </c>
      <c r="D21" s="1"/>
    </row>
    <row r="22" spans="1:4" ht="15" customHeight="1" x14ac:dyDescent="0.25">
      <c r="A22" s="22">
        <v>1</v>
      </c>
      <c r="B22" s="11" t="s">
        <v>268</v>
      </c>
      <c r="C22" s="16">
        <v>2.5299999999999998</v>
      </c>
      <c r="D22" s="48"/>
    </row>
  </sheetData>
  <sheetProtection selectLockedCells="1" selectUnlockedCells="1"/>
  <autoFilter ref="A6:C22" xr:uid="{F31930B6-4971-457E-8A5A-D1730B7BAB4E}"/>
  <sortState xmlns:xlrd2="http://schemas.microsoft.com/office/spreadsheetml/2017/richdata2" ref="A7:C22">
    <sortCondition descending="1" ref="C7:C22"/>
  </sortState>
  <printOptions gridLines="1"/>
  <pageMargins left="0.25" right="0.25" top="0.75" bottom="0.75" header="0.51180555555555551" footer="0.51180555555555551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9D79-7298-477C-A63C-86D6F02E2DA4}">
  <dimension ref="A1:B32"/>
  <sheetViews>
    <sheetView zoomScale="120" zoomScaleNormal="120" workbookViewId="0"/>
  </sheetViews>
  <sheetFormatPr defaultRowHeight="12.75" x14ac:dyDescent="0.2"/>
  <cols>
    <col min="1" max="1" width="28.5703125" customWidth="1"/>
    <col min="2" max="2" width="110.140625" bestFit="1" customWidth="1"/>
  </cols>
  <sheetData>
    <row r="1" spans="1:2" ht="15" x14ac:dyDescent="0.25">
      <c r="A1" s="3" t="s">
        <v>102</v>
      </c>
    </row>
    <row r="2" spans="1:2" ht="15" x14ac:dyDescent="0.25">
      <c r="A2" s="3" t="s">
        <v>173</v>
      </c>
    </row>
    <row r="4" spans="1:2" x14ac:dyDescent="0.2">
      <c r="A4" s="27" t="s">
        <v>174</v>
      </c>
      <c r="B4" s="27" t="s">
        <v>175</v>
      </c>
    </row>
    <row r="5" spans="1:2" ht="45" x14ac:dyDescent="0.25">
      <c r="A5" s="14" t="s">
        <v>89</v>
      </c>
      <c r="B5" s="10" t="s">
        <v>99</v>
      </c>
    </row>
    <row r="6" spans="1:2" ht="15" x14ac:dyDescent="0.25">
      <c r="A6" s="14" t="s">
        <v>64</v>
      </c>
      <c r="B6" s="10" t="s">
        <v>49</v>
      </c>
    </row>
    <row r="7" spans="1:2" ht="15" x14ac:dyDescent="0.25">
      <c r="A7" s="14" t="s">
        <v>66</v>
      </c>
      <c r="B7" s="10" t="s">
        <v>181</v>
      </c>
    </row>
    <row r="8" spans="1:2" ht="15" x14ac:dyDescent="0.25">
      <c r="A8" s="14" t="s">
        <v>18</v>
      </c>
      <c r="B8" s="10" t="s">
        <v>176</v>
      </c>
    </row>
    <row r="9" spans="1:2" ht="15" x14ac:dyDescent="0.25">
      <c r="A9" s="14" t="s">
        <v>5</v>
      </c>
      <c r="B9" s="10" t="s">
        <v>124</v>
      </c>
    </row>
    <row r="10" spans="1:2" ht="15" x14ac:dyDescent="0.25">
      <c r="A10" s="14" t="s">
        <v>37</v>
      </c>
      <c r="B10" s="10" t="s">
        <v>90</v>
      </c>
    </row>
    <row r="11" spans="1:2" ht="15" x14ac:dyDescent="0.25">
      <c r="A11" s="14" t="s">
        <v>63</v>
      </c>
      <c r="B11" s="10" t="s">
        <v>49</v>
      </c>
    </row>
    <row r="12" spans="1:2" ht="15" x14ac:dyDescent="0.25">
      <c r="A12" s="14" t="s">
        <v>16</v>
      </c>
      <c r="B12" s="10" t="s">
        <v>49</v>
      </c>
    </row>
    <row r="13" spans="1:2" ht="90" x14ac:dyDescent="0.25">
      <c r="A13" s="14" t="s">
        <v>68</v>
      </c>
      <c r="B13" s="10" t="s">
        <v>178</v>
      </c>
    </row>
    <row r="14" spans="1:2" ht="15" x14ac:dyDescent="0.25">
      <c r="A14" s="14" t="s">
        <v>75</v>
      </c>
      <c r="B14" s="10" t="s">
        <v>76</v>
      </c>
    </row>
    <row r="15" spans="1:2" ht="30" x14ac:dyDescent="0.25">
      <c r="A15" s="14" t="s">
        <v>29</v>
      </c>
      <c r="B15" s="14" t="s">
        <v>103</v>
      </c>
    </row>
    <row r="16" spans="1:2" ht="15" x14ac:dyDescent="0.25">
      <c r="A16" s="14" t="s">
        <v>19</v>
      </c>
      <c r="B16" s="10" t="s">
        <v>50</v>
      </c>
    </row>
    <row r="17" spans="1:2" ht="30" x14ac:dyDescent="0.25">
      <c r="A17" s="14" t="s">
        <v>7</v>
      </c>
      <c r="B17" s="10" t="s">
        <v>47</v>
      </c>
    </row>
    <row r="18" spans="1:2" ht="30" x14ac:dyDescent="0.25">
      <c r="A18" s="14" t="s">
        <v>33</v>
      </c>
      <c r="B18" s="10" t="s">
        <v>177</v>
      </c>
    </row>
    <row r="19" spans="1:2" ht="15" x14ac:dyDescent="0.25">
      <c r="A19" s="14" t="s">
        <v>44</v>
      </c>
      <c r="B19" s="10" t="s">
        <v>46</v>
      </c>
    </row>
    <row r="20" spans="1:2" ht="15" x14ac:dyDescent="0.25">
      <c r="A20" s="14" t="s">
        <v>45</v>
      </c>
      <c r="B20" s="10" t="s">
        <v>130</v>
      </c>
    </row>
    <row r="21" spans="1:2" ht="30" x14ac:dyDescent="0.25">
      <c r="A21" s="28" t="s">
        <v>81</v>
      </c>
      <c r="B21" s="10" t="s">
        <v>80</v>
      </c>
    </row>
    <row r="22" spans="1:2" ht="60" x14ac:dyDescent="0.25">
      <c r="A22" s="14" t="s">
        <v>162</v>
      </c>
      <c r="B22" s="10" t="s">
        <v>161</v>
      </c>
    </row>
    <row r="23" spans="1:2" ht="15" x14ac:dyDescent="0.25">
      <c r="A23" s="14" t="s">
        <v>100</v>
      </c>
      <c r="B23" s="10" t="s">
        <v>101</v>
      </c>
    </row>
    <row r="24" spans="1:2" ht="15" x14ac:dyDescent="0.25">
      <c r="A24" s="14" t="s">
        <v>62</v>
      </c>
      <c r="B24" s="10" t="s">
        <v>98</v>
      </c>
    </row>
    <row r="25" spans="1:2" ht="15" x14ac:dyDescent="0.25">
      <c r="A25" s="14" t="s">
        <v>14</v>
      </c>
      <c r="B25" s="10" t="s">
        <v>90</v>
      </c>
    </row>
    <row r="26" spans="1:2" ht="15" x14ac:dyDescent="0.25">
      <c r="A26" s="14" t="s">
        <v>67</v>
      </c>
      <c r="B26" s="10" t="s">
        <v>182</v>
      </c>
    </row>
    <row r="27" spans="1:2" ht="15" x14ac:dyDescent="0.25">
      <c r="A27" s="14" t="s">
        <v>17</v>
      </c>
      <c r="B27" s="10" t="s">
        <v>49</v>
      </c>
    </row>
    <row r="28" spans="1:2" ht="30" x14ac:dyDescent="0.25">
      <c r="A28" s="14" t="s">
        <v>125</v>
      </c>
      <c r="B28" s="10" t="s">
        <v>183</v>
      </c>
    </row>
    <row r="29" spans="1:2" ht="30" x14ac:dyDescent="0.25">
      <c r="A29" s="14" t="s">
        <v>21</v>
      </c>
      <c r="B29" s="14" t="s">
        <v>180</v>
      </c>
    </row>
    <row r="30" spans="1:2" ht="15" x14ac:dyDescent="0.25">
      <c r="A30" s="14" t="s">
        <v>159</v>
      </c>
      <c r="B30" s="10" t="s">
        <v>160</v>
      </c>
    </row>
    <row r="31" spans="1:2" ht="15" x14ac:dyDescent="0.25">
      <c r="A31" s="14" t="s">
        <v>20</v>
      </c>
      <c r="B31" s="10" t="s">
        <v>49</v>
      </c>
    </row>
    <row r="32" spans="1:2" ht="30" x14ac:dyDescent="0.25">
      <c r="A32" s="14" t="s">
        <v>59</v>
      </c>
      <c r="B32" s="10" t="s">
        <v>90</v>
      </c>
    </row>
  </sheetData>
  <sortState xmlns:xlrd2="http://schemas.microsoft.com/office/spreadsheetml/2017/richdata2" ref="A5:B32">
    <sortCondition ref="A5:A3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8B36-BFCE-467B-8A87-084D41599ED2}">
  <dimension ref="A1:A10"/>
  <sheetViews>
    <sheetView workbookViewId="0"/>
  </sheetViews>
  <sheetFormatPr defaultRowHeight="12.75" x14ac:dyDescent="0.2"/>
  <cols>
    <col min="1" max="1" width="59.5703125" bestFit="1" customWidth="1"/>
  </cols>
  <sheetData>
    <row r="1" spans="1:1" ht="15" x14ac:dyDescent="0.25">
      <c r="A1" s="3" t="s">
        <v>102</v>
      </c>
    </row>
    <row r="2" spans="1:1" ht="15" x14ac:dyDescent="0.25">
      <c r="A2" s="3" t="s">
        <v>128</v>
      </c>
    </row>
    <row r="4" spans="1:1" ht="15" x14ac:dyDescent="0.25">
      <c r="A4" s="10" t="s">
        <v>73</v>
      </c>
    </row>
    <row r="5" spans="1:1" ht="15" x14ac:dyDescent="0.25">
      <c r="A5" s="10" t="s">
        <v>72</v>
      </c>
    </row>
    <row r="6" spans="1:1" ht="15" x14ac:dyDescent="0.25">
      <c r="A6" s="10" t="s">
        <v>71</v>
      </c>
    </row>
    <row r="7" spans="1:1" ht="15" x14ac:dyDescent="0.25">
      <c r="A7" s="10" t="s">
        <v>69</v>
      </c>
    </row>
    <row r="8" spans="1:1" ht="15" x14ac:dyDescent="0.25">
      <c r="A8" s="10" t="s">
        <v>70</v>
      </c>
    </row>
    <row r="9" spans="1:1" ht="15" x14ac:dyDescent="0.25">
      <c r="A9" s="10" t="s">
        <v>184</v>
      </c>
    </row>
    <row r="10" spans="1:1" ht="15" x14ac:dyDescent="0.25">
      <c r="A10" s="10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7AFC-4B2F-4878-87D4-CCBC748C5395}">
  <dimension ref="A1:C62"/>
  <sheetViews>
    <sheetView workbookViewId="0">
      <selection activeCell="J27" sqref="J27"/>
    </sheetView>
  </sheetViews>
  <sheetFormatPr defaultRowHeight="12.75" x14ac:dyDescent="0.2"/>
  <cols>
    <col min="1" max="2" width="6.140625" customWidth="1"/>
    <col min="3" max="3" width="63.5703125" customWidth="1"/>
  </cols>
  <sheetData>
    <row r="1" spans="1:3" ht="15.75" x14ac:dyDescent="0.25">
      <c r="A1" s="29" t="s">
        <v>188</v>
      </c>
      <c r="B1" s="29"/>
      <c r="C1" s="29"/>
    </row>
    <row r="2" spans="1:3" ht="15.75" x14ac:dyDescent="0.25">
      <c r="A2" s="29" t="s">
        <v>216</v>
      </c>
      <c r="B2" s="29"/>
      <c r="C2" s="29"/>
    </row>
    <row r="3" spans="1:3" ht="15.75" x14ac:dyDescent="0.25">
      <c r="A3" s="29" t="s">
        <v>217</v>
      </c>
      <c r="B3" s="29"/>
      <c r="C3" s="29"/>
    </row>
    <row r="4" spans="1:3" ht="15.75" x14ac:dyDescent="0.25">
      <c r="A4" s="29" t="s">
        <v>210</v>
      </c>
      <c r="B4" s="29"/>
      <c r="C4" s="29"/>
    </row>
    <row r="5" spans="1:3" ht="15.75" x14ac:dyDescent="0.25">
      <c r="A5" s="29"/>
      <c r="B5" s="29"/>
      <c r="C5" s="29"/>
    </row>
    <row r="6" spans="1:3" ht="15.75" x14ac:dyDescent="0.25">
      <c r="A6" s="35" t="s">
        <v>211</v>
      </c>
      <c r="B6" s="35" t="s">
        <v>212</v>
      </c>
      <c r="C6" s="29"/>
    </row>
    <row r="7" spans="1:3" ht="15.75" x14ac:dyDescent="0.25">
      <c r="A7" s="29"/>
      <c r="B7" s="29"/>
      <c r="C7" s="29"/>
    </row>
    <row r="8" spans="1:3" ht="15.75" x14ac:dyDescent="0.25">
      <c r="A8" s="29" t="s">
        <v>189</v>
      </c>
      <c r="B8" s="29"/>
      <c r="C8" s="29"/>
    </row>
    <row r="9" spans="1:3" ht="15.75" x14ac:dyDescent="0.25">
      <c r="A9" s="30"/>
      <c r="B9" s="30"/>
      <c r="C9" s="31" t="s">
        <v>190</v>
      </c>
    </row>
    <row r="10" spans="1:3" ht="15.75" x14ac:dyDescent="0.25">
      <c r="A10" s="30"/>
      <c r="B10" s="30"/>
      <c r="C10" s="31" t="s">
        <v>191</v>
      </c>
    </row>
    <row r="11" spans="1:3" ht="15.75" x14ac:dyDescent="0.25">
      <c r="A11" s="30"/>
      <c r="B11" s="30"/>
      <c r="C11" s="31" t="s">
        <v>192</v>
      </c>
    </row>
    <row r="12" spans="1:3" ht="15.75" x14ac:dyDescent="0.25">
      <c r="A12" s="30"/>
      <c r="B12" s="30"/>
      <c r="C12" s="31" t="s">
        <v>193</v>
      </c>
    </row>
    <row r="13" spans="1:3" ht="15.75" x14ac:dyDescent="0.25">
      <c r="A13" s="30"/>
      <c r="B13" s="30"/>
      <c r="C13" s="31" t="s">
        <v>84</v>
      </c>
    </row>
    <row r="14" spans="1:3" ht="15.75" x14ac:dyDescent="0.25">
      <c r="A14" s="30"/>
      <c r="B14" s="30"/>
      <c r="C14" s="31" t="s">
        <v>194</v>
      </c>
    </row>
    <row r="15" spans="1:3" ht="15.75" x14ac:dyDescent="0.25">
      <c r="A15" s="30"/>
      <c r="B15" s="30"/>
      <c r="C15" s="32" t="s">
        <v>0</v>
      </c>
    </row>
    <row r="16" spans="1:3" ht="15.75" x14ac:dyDescent="0.25">
      <c r="A16" s="29"/>
      <c r="B16" s="29"/>
      <c r="C16" s="33"/>
    </row>
    <row r="17" spans="1:3" ht="15.75" x14ac:dyDescent="0.25">
      <c r="A17" s="29" t="s">
        <v>195</v>
      </c>
      <c r="B17" s="29"/>
      <c r="C17" s="29"/>
    </row>
    <row r="18" spans="1:3" ht="15.75" x14ac:dyDescent="0.25">
      <c r="A18" s="30"/>
      <c r="B18" s="30"/>
      <c r="C18" s="31" t="s">
        <v>196</v>
      </c>
    </row>
    <row r="19" spans="1:3" ht="15.75" x14ac:dyDescent="0.25">
      <c r="A19" s="30"/>
      <c r="B19" s="30"/>
      <c r="C19" s="31" t="s">
        <v>197</v>
      </c>
    </row>
    <row r="20" spans="1:3" ht="15.75" x14ac:dyDescent="0.25">
      <c r="A20" s="30"/>
      <c r="B20" s="30"/>
      <c r="C20" s="31" t="s">
        <v>198</v>
      </c>
    </row>
    <row r="21" spans="1:3" ht="15.75" x14ac:dyDescent="0.25">
      <c r="A21" s="30"/>
      <c r="B21" s="30"/>
      <c r="C21" s="31" t="s">
        <v>199</v>
      </c>
    </row>
    <row r="22" spans="1:3" ht="15.75" x14ac:dyDescent="0.25">
      <c r="A22" s="30"/>
      <c r="B22" s="30"/>
      <c r="C22" s="31" t="s">
        <v>200</v>
      </c>
    </row>
    <row r="23" spans="1:3" ht="15.75" x14ac:dyDescent="0.25">
      <c r="A23" s="30"/>
      <c r="B23" s="30"/>
      <c r="C23" s="31" t="s">
        <v>12</v>
      </c>
    </row>
    <row r="24" spans="1:3" ht="15.75" x14ac:dyDescent="0.25">
      <c r="A24" s="30"/>
      <c r="B24" s="30"/>
      <c r="C24" s="31" t="s">
        <v>58</v>
      </c>
    </row>
    <row r="25" spans="1:3" ht="15.75" x14ac:dyDescent="0.25">
      <c r="A25" s="30"/>
      <c r="B25" s="30"/>
      <c r="C25" s="31" t="s">
        <v>201</v>
      </c>
    </row>
    <row r="26" spans="1:3" ht="15.75" x14ac:dyDescent="0.25">
      <c r="A26" s="30"/>
      <c r="B26" s="30"/>
      <c r="C26" s="31" t="s">
        <v>202</v>
      </c>
    </row>
    <row r="27" spans="1:3" ht="15.75" x14ac:dyDescent="0.25">
      <c r="A27" s="30"/>
      <c r="B27" s="30"/>
      <c r="C27" s="31" t="s">
        <v>203</v>
      </c>
    </row>
    <row r="28" spans="1:3" ht="15.75" x14ac:dyDescent="0.25">
      <c r="A28" s="30"/>
      <c r="B28" s="30"/>
      <c r="C28" s="31" t="s">
        <v>204</v>
      </c>
    </row>
    <row r="29" spans="1:3" ht="15.75" x14ac:dyDescent="0.25">
      <c r="A29" s="30"/>
      <c r="B29" s="30"/>
      <c r="C29" s="31" t="s">
        <v>205</v>
      </c>
    </row>
    <row r="30" spans="1:3" ht="15.75" x14ac:dyDescent="0.25">
      <c r="A30" s="29"/>
      <c r="B30" s="29"/>
      <c r="C30" s="29"/>
    </row>
    <row r="31" spans="1:3" ht="15.75" x14ac:dyDescent="0.25">
      <c r="A31" s="29" t="s">
        <v>209</v>
      </c>
      <c r="B31" s="29"/>
      <c r="C31" s="33"/>
    </row>
    <row r="32" spans="1:3" ht="15.75" x14ac:dyDescent="0.25">
      <c r="A32" s="30"/>
      <c r="B32" s="30"/>
      <c r="C32" s="32" t="s">
        <v>214</v>
      </c>
    </row>
    <row r="33" spans="1:3" ht="15.75" x14ac:dyDescent="0.25">
      <c r="A33" s="30"/>
      <c r="B33" s="30"/>
      <c r="C33" s="32" t="s">
        <v>31</v>
      </c>
    </row>
    <row r="34" spans="1:3" ht="15.75" x14ac:dyDescent="0.25">
      <c r="A34" s="30"/>
      <c r="B34" s="30"/>
      <c r="C34" s="32" t="s">
        <v>32</v>
      </c>
    </row>
    <row r="35" spans="1:3" ht="15.75" x14ac:dyDescent="0.25">
      <c r="A35" s="30"/>
      <c r="B35" s="30" t="s">
        <v>213</v>
      </c>
      <c r="C35" s="32" t="s">
        <v>206</v>
      </c>
    </row>
    <row r="36" spans="1:3" ht="15.75" x14ac:dyDescent="0.25">
      <c r="A36" s="30">
        <v>1</v>
      </c>
      <c r="B36" s="30"/>
      <c r="C36" s="32" t="s">
        <v>208</v>
      </c>
    </row>
    <row r="37" spans="1:3" ht="15.75" x14ac:dyDescent="0.25">
      <c r="A37" s="30"/>
      <c r="B37" s="30"/>
      <c r="C37" s="32" t="s">
        <v>55</v>
      </c>
    </row>
    <row r="38" spans="1:3" ht="31.5" x14ac:dyDescent="0.25">
      <c r="A38" s="30">
        <v>1</v>
      </c>
      <c r="B38" s="30"/>
      <c r="C38" s="32" t="s">
        <v>215</v>
      </c>
    </row>
    <row r="39" spans="1:3" ht="15.75" x14ac:dyDescent="0.25">
      <c r="A39" s="30"/>
      <c r="B39" s="30" t="s">
        <v>213</v>
      </c>
      <c r="C39" s="32" t="s">
        <v>86</v>
      </c>
    </row>
    <row r="40" spans="1:3" ht="15.75" x14ac:dyDescent="0.25">
      <c r="A40" s="30">
        <v>1</v>
      </c>
      <c r="B40" s="30" t="s">
        <v>213</v>
      </c>
      <c r="C40" s="32" t="s">
        <v>15</v>
      </c>
    </row>
    <row r="41" spans="1:3" ht="15.75" x14ac:dyDescent="0.25">
      <c r="A41" s="30">
        <v>1</v>
      </c>
      <c r="B41" s="30" t="s">
        <v>213</v>
      </c>
      <c r="C41" s="32" t="s">
        <v>30</v>
      </c>
    </row>
    <row r="42" spans="1:3" ht="15.75" x14ac:dyDescent="0.25">
      <c r="A42" s="30"/>
      <c r="B42" s="30"/>
      <c r="C42" s="32" t="s">
        <v>105</v>
      </c>
    </row>
    <row r="43" spans="1:3" ht="15.75" x14ac:dyDescent="0.25">
      <c r="A43" s="30"/>
      <c r="B43" s="30"/>
      <c r="C43" s="32" t="s">
        <v>48</v>
      </c>
    </row>
    <row r="44" spans="1:3" ht="15.75" x14ac:dyDescent="0.25">
      <c r="A44" s="30"/>
      <c r="B44" s="30" t="s">
        <v>213</v>
      </c>
      <c r="C44" s="32" t="s">
        <v>25</v>
      </c>
    </row>
    <row r="45" spans="1:3" ht="15.75" x14ac:dyDescent="0.25">
      <c r="A45" s="30"/>
      <c r="B45" s="30" t="s">
        <v>213</v>
      </c>
      <c r="C45" s="32" t="s">
        <v>26</v>
      </c>
    </row>
    <row r="46" spans="1:3" ht="15.75" x14ac:dyDescent="0.25">
      <c r="A46" s="30"/>
      <c r="B46" s="30" t="s">
        <v>213</v>
      </c>
      <c r="C46" s="32" t="s">
        <v>155</v>
      </c>
    </row>
    <row r="47" spans="1:3" ht="15.75" x14ac:dyDescent="0.25">
      <c r="A47" s="30"/>
      <c r="B47" s="30" t="s">
        <v>213</v>
      </c>
      <c r="C47" s="32" t="s">
        <v>166</v>
      </c>
    </row>
    <row r="48" spans="1:3" ht="15.75" x14ac:dyDescent="0.25">
      <c r="A48" s="30">
        <v>1</v>
      </c>
      <c r="B48" s="30" t="s">
        <v>213</v>
      </c>
      <c r="C48" s="32" t="s">
        <v>107</v>
      </c>
    </row>
    <row r="49" spans="1:3" ht="15.75" x14ac:dyDescent="0.25">
      <c r="A49" s="30">
        <v>1</v>
      </c>
      <c r="B49" s="30">
        <v>1</v>
      </c>
      <c r="C49" s="32" t="s">
        <v>1</v>
      </c>
    </row>
    <row r="50" spans="1:3" ht="15.75" x14ac:dyDescent="0.25">
      <c r="A50" s="30">
        <v>1</v>
      </c>
      <c r="B50" s="30">
        <v>1</v>
      </c>
      <c r="C50" s="32" t="s">
        <v>23</v>
      </c>
    </row>
    <row r="51" spans="1:3" ht="15.75" x14ac:dyDescent="0.25">
      <c r="A51" s="30">
        <v>1</v>
      </c>
      <c r="B51" s="30">
        <v>1</v>
      </c>
      <c r="C51" s="32" t="s">
        <v>10</v>
      </c>
    </row>
    <row r="52" spans="1:3" ht="15.75" x14ac:dyDescent="0.25">
      <c r="A52" s="30">
        <v>1</v>
      </c>
      <c r="B52" s="30">
        <v>1</v>
      </c>
      <c r="C52" s="32" t="s">
        <v>13</v>
      </c>
    </row>
    <row r="53" spans="1:3" ht="15.75" x14ac:dyDescent="0.25">
      <c r="A53" s="30">
        <v>1</v>
      </c>
      <c r="B53" s="30" t="s">
        <v>213</v>
      </c>
      <c r="C53" s="32" t="s">
        <v>207</v>
      </c>
    </row>
    <row r="54" spans="1:3" ht="15.75" x14ac:dyDescent="0.25">
      <c r="A54" s="30">
        <v>1</v>
      </c>
      <c r="B54" s="30" t="s">
        <v>213</v>
      </c>
      <c r="C54" s="32" t="s">
        <v>145</v>
      </c>
    </row>
    <row r="55" spans="1:3" ht="47.25" x14ac:dyDescent="0.25">
      <c r="A55" s="30">
        <v>1</v>
      </c>
      <c r="B55" s="30" t="s">
        <v>213</v>
      </c>
      <c r="C55" s="32" t="s">
        <v>88</v>
      </c>
    </row>
    <row r="56" spans="1:3" ht="15.75" x14ac:dyDescent="0.25">
      <c r="A56" s="30">
        <v>1</v>
      </c>
      <c r="B56" s="30">
        <v>1</v>
      </c>
      <c r="C56" s="32" t="s">
        <v>24</v>
      </c>
    </row>
    <row r="57" spans="1:3" ht="15.75" x14ac:dyDescent="0.25">
      <c r="A57" s="30">
        <v>1</v>
      </c>
      <c r="B57" s="30" t="s">
        <v>213</v>
      </c>
      <c r="C57" s="32" t="s">
        <v>41</v>
      </c>
    </row>
    <row r="58" spans="1:3" ht="15.75" x14ac:dyDescent="0.25">
      <c r="A58" s="30"/>
      <c r="B58" s="30" t="s">
        <v>213</v>
      </c>
      <c r="C58" s="32" t="s">
        <v>60</v>
      </c>
    </row>
    <row r="59" spans="1:3" ht="15.75" x14ac:dyDescent="0.25">
      <c r="A59" s="30"/>
      <c r="B59" s="30" t="s">
        <v>213</v>
      </c>
      <c r="C59" s="34" t="s">
        <v>27</v>
      </c>
    </row>
    <row r="60" spans="1:3" ht="15.75" x14ac:dyDescent="0.25">
      <c r="A60" s="30">
        <v>1</v>
      </c>
      <c r="B60" s="30"/>
      <c r="C60" s="32" t="s">
        <v>96</v>
      </c>
    </row>
    <row r="61" spans="1:3" ht="31.5" x14ac:dyDescent="0.25">
      <c r="A61" s="30">
        <v>1</v>
      </c>
      <c r="B61" s="30" t="s">
        <v>213</v>
      </c>
      <c r="C61" s="32" t="s">
        <v>89</v>
      </c>
    </row>
    <row r="62" spans="1:3" ht="15.75" x14ac:dyDescent="0.25">
      <c r="A62" s="30">
        <v>1</v>
      </c>
      <c r="B62" s="30" t="s">
        <v>213</v>
      </c>
      <c r="C62" s="32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minimial summer list</vt:lpstr>
      <vt:lpstr>pie chart data</vt:lpstr>
      <vt:lpstr>optional</vt:lpstr>
      <vt:lpstr>preparation</vt:lpstr>
      <vt:lpstr>Grand Canyon May 2023</vt:lpstr>
      <vt:lpstr>weight pie chart</vt:lpstr>
      <vt:lpstr>'minimial summer list'!Excel_BuiltIn_Print_Area</vt:lpstr>
      <vt:lpstr>'pie chart data'!Excel_BuiltIn_Print_Area</vt:lpstr>
      <vt:lpstr>'minimial summer list'!Print_Area</vt:lpstr>
      <vt:lpstr>'pie chart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cp:lastPrinted>2021-11-28T00:06:56Z</cp:lastPrinted>
  <dcterms:created xsi:type="dcterms:W3CDTF">2018-07-30T06:44:48Z</dcterms:created>
  <dcterms:modified xsi:type="dcterms:W3CDTF">2024-09-07T15:59:43Z</dcterms:modified>
</cp:coreProperties>
</file>